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MCRO_FRAUD_ZIPS__cluster_clo" sheetId="1" state="visible" r:id="rId2"/>
    <sheet name="02_MCRO_FRAUD_ZIPS__created_aft" sheetId="2" state="visible" r:id="rId3"/>
    <sheet name="03_MCRO_FRAUD_ZIPS__signed_afte" sheetId="3" state="visible" r:id="rId4"/>
    <sheet name="04_MCRO_FRAUD_ZIPS__usps_mail_f" sheetId="4" state="visible" r:id="rId5"/>
    <sheet name="05_MCRO_FRAUD_ZIPS__judicial_ti" sheetId="5" state="visible" r:id="rId6"/>
    <sheet name="06_MCRO_FRAUD_ZIPS__recycled_74" sheetId="6" state="visible" r:id="rId7"/>
    <sheet name="07_MCRO_FRAUD_ZIPS__javascript_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<sst xmlns="http://schemas.openxmlformats.org/spreadsheetml/2006/main" count="8582" uniqueCount="1641">
  <si>
    <t xml:space="preserve">Index</t>
  </si>
  <si>
    <t xml:space="preserve">Zip_filename</t>
  </si>
  <si>
    <t xml:space="preserve">Case_id</t>
  </si>
  <si>
    <t xml:space="preserve">Defendant_name</t>
  </si>
  <si>
    <t xml:space="preserve">Filename</t>
  </si>
  <si>
    <t xml:space="preserve">Filing_date</t>
  </si>
  <si>
    <t xml:space="preserve">Create_date</t>
  </si>
  <si>
    <t xml:space="preserve">Document_id</t>
  </si>
  <si>
    <t xml:space="preserve">Instance_id</t>
  </si>
  <si>
    <t xml:space="preserve">sig1_name</t>
  </si>
  <si>
    <t xml:space="preserve">sig1_sign_time</t>
  </si>
  <si>
    <t xml:space="preserve">sig1_signed_bytes</t>
  </si>
  <si>
    <t xml:space="preserve">sig2_name</t>
  </si>
  <si>
    <t xml:space="preserve">sig2_sign_time</t>
  </si>
  <si>
    <t xml:space="preserve">sig2_signed_bytes</t>
  </si>
  <si>
    <t xml:space="preserve">Lucas Patrick Kraskey</t>
  </si>
  <si>
    <t xml:space="preserve">2018:12:11 10:27:54-06:00</t>
  </si>
  <si>
    <t xml:space="preserve">76527a7c-3719-4164-9702-6f28f3349eb7</t>
  </si>
  <si>
    <t xml:space="preserve">6be67475-e656-4fd0-acae-f75236e31d81</t>
  </si>
  <si>
    <t xml:space="preserve">30e83e3b-6e92-4921-875a-998be4db4569</t>
  </si>
  <si>
    <t xml:space="preserve">0894b712-34bc-49b1-9ced-3d54abadf84a</t>
  </si>
  <si>
    <t xml:space="preserve">0f2caab5-8903-45c0-85db-75111779fe25</t>
  </si>
  <si>
    <t xml:space="preserve">1dd998f6-822b-463c-b5bc-fa8658e96514</t>
  </si>
  <si>
    <t xml:space="preserve">1279d621-3f42-431f-ad28-fa0cbd6febf7</t>
  </si>
  <si>
    <t xml:space="preserve">2021:05:05 13:43:30-05:00</t>
  </si>
  <si>
    <t xml:space="preserve">E227E14F-4C06-4045-A91A-B110CC240915</t>
  </si>
  <si>
    <t xml:space="preserve">6b97f6aa-ac93-46de-be89-aa1b66153fe4</t>
  </si>
  <si>
    <t xml:space="preserve">36de3c1d-4bbd-4e70-97fa-33b41e1cb5ce</t>
  </si>
  <si>
    <t xml:space="preserve">2021:11:09 16:02:40-06:00</t>
  </si>
  <si>
    <t xml:space="preserve">4DEE6E51-F524-4F16-9963-57D5633C4DC5</t>
  </si>
  <si>
    <t xml:space="preserve">66e88647-3271-4394-9f6e-386af79e2b53</t>
  </si>
  <si>
    <t xml:space="preserve">2022:03:23 18:48:42-05:00</t>
  </si>
  <si>
    <t xml:space="preserve">da99899a-5539-488d-bd0a-b4de172acd7a</t>
  </si>
  <si>
    <t xml:space="preserve">4d136106-35b2-4df6-a3ff-d3bcfb4a7425</t>
  </si>
  <si>
    <t xml:space="preserve">8123ac25-0a56-45f3-9b78-d8f85a88592a</t>
  </si>
  <si>
    <t xml:space="preserve">0dcd9851-176f-4eb1-9cfe-0078a705d6de</t>
  </si>
  <si>
    <t xml:space="preserve">efacc9fa-9286-488a-8cef-b2d656869e88</t>
  </si>
  <si>
    <t xml:space="preserve">f73caa1c-076e-4ee6-a672-79db4741c26e</t>
  </si>
  <si>
    <t xml:space="preserve">9f80b500-6649-4aee-8a3d-5e98f205821c</t>
  </si>
  <si>
    <t xml:space="preserve">ea46265f-12b9-4ebb-b7a9-11c734bbb0f3</t>
  </si>
  <si>
    <t xml:space="preserve">2022:06:14 10:27:09-05:00</t>
  </si>
  <si>
    <t xml:space="preserve">379F5FE8-DA8C-4DBC-BF0C-56FB6608B984</t>
  </si>
  <si>
    <t xml:space="preserve">b3b67a75-0e58-4b5a-bb97-3572b01dca29</t>
  </si>
  <si>
    <t xml:space="preserve">Janzen, Lisa</t>
  </si>
  <si>
    <t xml:space="preserve">2022-06-14 13:10:40</t>
  </si>
  <si>
    <t xml:space="preserve">[0 - 150170], [157864 - 167370]</t>
  </si>
  <si>
    <t xml:space="preserve">2022:10:06 11:19:39-05:00</t>
  </si>
  <si>
    <t xml:space="preserve">fc0872d6-72ec-4fff-95c5-ca9709ada57d</t>
  </si>
  <si>
    <t xml:space="preserve">e064d38f-596f-4eea-9abd-a2e19c449310</t>
  </si>
  <si>
    <t xml:space="preserve">2023:02:22 11:00:36-06:00</t>
  </si>
  <si>
    <t xml:space="preserve">0A7EEDD9-0DFC-4264-8666-8941D3B53FC7</t>
  </si>
  <si>
    <t xml:space="preserve">011f5701-8a2d-4875-b43f-c53833dda54c</t>
  </si>
  <si>
    <t xml:space="preserve">2023:03:28 09:15:52-05:00</t>
  </si>
  <si>
    <t xml:space="preserve">78506861-1A17-44C6-ACC8-72F0C35A9E45</t>
  </si>
  <si>
    <t xml:space="preserve">c1a26644-3cd4-42e7-b738-9a0f55978e04</t>
  </si>
  <si>
    <t xml:space="preserve">Dayton Klein, Julia</t>
  </si>
  <si>
    <t xml:space="preserve">2023-03-28 09:42:24</t>
  </si>
  <si>
    <t xml:space="preserve">[0 - 148737], [155765 - 228900]</t>
  </si>
  <si>
    <t xml:space="preserve">2023:05:02 15:10:58-05:00</t>
  </si>
  <si>
    <t xml:space="preserve">C9D4B7C3-C1A6-4577-8CF2-D116647E8AAD</t>
  </si>
  <si>
    <t xml:space="preserve">42ed1481-f8c5-4dba-9472-b41b422f4b1f</t>
  </si>
  <si>
    <t xml:space="preserve">Mercurio, Danielle</t>
  </si>
  <si>
    <t xml:space="preserve">2023-05-02 15:12:11</t>
  </si>
  <si>
    <t xml:space="preserve">[0 - 97267], [109349 - 158998]</t>
  </si>
  <si>
    <t xml:space="preserve">Browne, Michael</t>
  </si>
  <si>
    <t xml:space="preserve">2023-05-02 16:14:50</t>
  </si>
  <si>
    <t xml:space="preserve">[0 - 159395], [166401 - 224216]</t>
  </si>
  <si>
    <t xml:space="preserve">2023:05:16 14:27:44-05:00</t>
  </si>
  <si>
    <t xml:space="preserve">f8880045-66e9-4e0c-be1c-3a6b7d392c42</t>
  </si>
  <si>
    <t xml:space="preserve">f15a97b7-9422-4dae-bef3-6d2a2feb27ef</t>
  </si>
  <si>
    <t xml:space="preserve">2023-05-16 14:28:16</t>
  </si>
  <si>
    <t xml:space="preserve">[0 - 69917], [77523 - 233103]</t>
  </si>
  <si>
    <t xml:space="preserve">2023:08:18 19:25:29-05:00</t>
  </si>
  <si>
    <t xml:space="preserve">4ED03C37-61AC-4733-8B82-819D9E7E5C63</t>
  </si>
  <si>
    <t xml:space="preserve">376fc3b1-f7d4-44f6-a704-aa3361caba9a</t>
  </si>
  <si>
    <t xml:space="preserve">2023-08-21 09:19:36</t>
  </si>
  <si>
    <t xml:space="preserve">[0 - 122103], [129131 - 217966]</t>
  </si>
  <si>
    <t xml:space="preserve">2023:10:31 15:57:06-05:00</t>
  </si>
  <si>
    <t xml:space="preserve">f4b707b4-9e80-415e-ab0c-03fcbe14e2f9</t>
  </si>
  <si>
    <t xml:space="preserve">daccd198-2ce7-4bc9-bf89-f5cdbd607a92</t>
  </si>
  <si>
    <t xml:space="preserve">2023-10-31 16:21:49</t>
  </si>
  <si>
    <t xml:space="preserve">[0 - 128009], [135015 - 200454]</t>
  </si>
  <si>
    <t xml:space="preserve">2024:02:21 16:38:40-06:00</t>
  </si>
  <si>
    <t xml:space="preserve">d1b66b4a-c423-46e0-bb8c-d1e82cf266d9</t>
  </si>
  <si>
    <t xml:space="preserve">7c4f61c1-7f83-4d86-bd4e-f15adc66f170</t>
  </si>
  <si>
    <t xml:space="preserve">GORDON EUGENE SHARP</t>
  </si>
  <si>
    <t xml:space="preserve">6a072837-bd14-492f-8ac5-2063926b149d</t>
  </si>
  <si>
    <t xml:space="preserve">6291462d-8a76-45cd-82c4-b70f9946bda1</t>
  </si>
  <si>
    <t xml:space="preserve">GORDON EUGENE SHARP, Jr.</t>
  </si>
  <si>
    <t xml:space="preserve">3f9c0841-5c39-469c-b7b4-ebc1a188e840</t>
  </si>
  <si>
    <t xml:space="preserve">2021:03:15 17:21:47-05:00</t>
  </si>
  <si>
    <t xml:space="preserve">1811c9ce-a893-484c-b3ee-4272a84728dd</t>
  </si>
  <si>
    <t xml:space="preserve">3c5f3c36-c81e-425d-8d1e-0caf77096fb3</t>
  </si>
  <si>
    <t xml:space="preserve">Bartolomei, Luis</t>
  </si>
  <si>
    <t xml:space="preserve">2022-03-08 14:24:27</t>
  </si>
  <si>
    <t xml:space="preserve">[0 - 74896], [82614 - 258817]</t>
  </si>
  <si>
    <t xml:space="preserve">2021:11:12 14:43:51-06:00</t>
  </si>
  <si>
    <t xml:space="preserve">9557C07B-0E2C-40C2-B502-08D822C45289</t>
  </si>
  <si>
    <t xml:space="preserve">a9084108-9f8e-4b85-9b90-b0153a8d60ef</t>
  </si>
  <si>
    <t xml:space="preserve">b3afd912-197f-43ef-813d-3784e0415141</t>
  </si>
  <si>
    <t xml:space="preserve">2021:12:14 09:27:05-06:00</t>
  </si>
  <si>
    <t xml:space="preserve">517890EB-503C-4089-A1F6-094AB15B2D9A</t>
  </si>
  <si>
    <t xml:space="preserve">ac52becf-9f8e-47ab-b87f-ea3d9000e93f</t>
  </si>
  <si>
    <t xml:space="preserve">3d78a28c-df77-4a48-a90c-b36a22eb2283</t>
  </si>
  <si>
    <t xml:space="preserve">2021:12:14 09:30:00-06:00</t>
  </si>
  <si>
    <t xml:space="preserve">4203773F-24D4-45AC-AB6F-38321DCDAF18</t>
  </si>
  <si>
    <t xml:space="preserve">2bfaa18f-2c9a-42c0-a831-228009e944ef</t>
  </si>
  <si>
    <t xml:space="preserve">0b73f655-ee03-4e64-b565-3a970f08a99b</t>
  </si>
  <si>
    <t xml:space="preserve">2021:12:14 09:32:14-06:00</t>
  </si>
  <si>
    <t xml:space="preserve">DEA3FE9F-6B23-4EAC-BC7C-0A1DB4EDA9D4</t>
  </si>
  <si>
    <t xml:space="preserve">44d73f41-d4d4-4109-943a-a00871aa6f1e</t>
  </si>
  <si>
    <t xml:space="preserve">12dcf06e-db19-44fa-bbd7-71874d6f4b8d</t>
  </si>
  <si>
    <t xml:space="preserve">2021:12:14 09:37:52-06:00</t>
  </si>
  <si>
    <t xml:space="preserve">2E46929C-6218-4F1A-9AF1-F40AB05BFCDD</t>
  </si>
  <si>
    <t xml:space="preserve">e3e108a8-18e6-4ef0-a52a-62c1b8619c99</t>
  </si>
  <si>
    <t xml:space="preserve">a6d4a052-32d1-4307-9911-568b576ffce9</t>
  </si>
  <si>
    <t xml:space="preserve">2021:12:20 15:50:07-06:00</t>
  </si>
  <si>
    <t xml:space="preserve">247593fc-6c6e-4dea-8346-b56192e622ee</t>
  </si>
  <si>
    <t xml:space="preserve">1eee8136-ca42-4e19-a224-276d8b695018</t>
  </si>
  <si>
    <t xml:space="preserve">2021:12:20 16:48:46-06:00</t>
  </si>
  <si>
    <t xml:space="preserve">95EA8E30-4F69-47DC-85E6-FE4B91322716</t>
  </si>
  <si>
    <t xml:space="preserve">07573ad0-78e6-47bd-b231-1e84a140d062</t>
  </si>
  <si>
    <t xml:space="preserve">2022:02:28 13:43:45-06:00</t>
  </si>
  <si>
    <t xml:space="preserve">4870D6F0-5DE2-4B3B-A15B-92B4333F3780</t>
  </si>
  <si>
    <t xml:space="preserve">345b49c4-1102-4a76-a1cb-265f0cfba7f4</t>
  </si>
  <si>
    <t xml:space="preserve">2022:06:01 08:25:00-05:00</t>
  </si>
  <si>
    <t xml:space="preserve">d9dd4e2f-a950-45ef-a4ca-34fe68341090</t>
  </si>
  <si>
    <t xml:space="preserve">35ff8d8a-8031-412f-bc85-3a49f7d43299</t>
  </si>
  <si>
    <t xml:space="preserve">2022:08:09 14:00:38-05:00</t>
  </si>
  <si>
    <t xml:space="preserve">2731a478-adf7-45bf-b534-7defb9e5406d</t>
  </si>
  <si>
    <t xml:space="preserve">a5814471-94b1-4425-af49-d8df567e013f</t>
  </si>
  <si>
    <t xml:space="preserve">2022:09:13 11:46:59-05:00</t>
  </si>
  <si>
    <t xml:space="preserve">F504132F-CCE2-4AC1-82C2-D65C1F28E2C2</t>
  </si>
  <si>
    <t xml:space="preserve">9d853b5f-9a1e-4d78-ac60-7cf5fe31b96e</t>
  </si>
  <si>
    <t xml:space="preserve">2022:10:04 16:19:38-05:00</t>
  </si>
  <si>
    <t xml:space="preserve">8021e886-56aa-40b7-80c8-afd0dc29fb7d</t>
  </si>
  <si>
    <t xml:space="preserve">4713ca86-e851-45d8-82be-945d36ff078a</t>
  </si>
  <si>
    <t xml:space="preserve">2023:01:05 16:03:02-06:00</t>
  </si>
  <si>
    <t xml:space="preserve">7045D76C-32A6-4993-B129-7CF4DAA1A226</t>
  </si>
  <si>
    <t xml:space="preserve">bbaf9195-7efb-45c2-8510-4a9249bbf536</t>
  </si>
  <si>
    <t xml:space="preserve">2023-01-05 16:14:29</t>
  </si>
  <si>
    <t xml:space="preserve">[0 - 148937], [155965 - 230480]</t>
  </si>
  <si>
    <t xml:space="preserve">2023:05:31 15:15:42-05:00</t>
  </si>
  <si>
    <t xml:space="preserve">230c7df3-d523-40d6-866c-1c419b368d6f</t>
  </si>
  <si>
    <t xml:space="preserve">66001a2c-694e-4c31-8483-3e221d74acb8</t>
  </si>
  <si>
    <t xml:space="preserve">Borer, George</t>
  </si>
  <si>
    <t xml:space="preserve">2023-05-31 15:22:13</t>
  </si>
  <si>
    <t xml:space="preserve">[0 - 129877], [141929 - 167540]</t>
  </si>
  <si>
    <t xml:space="preserve">2023-05-31 15:28:36</t>
  </si>
  <si>
    <t xml:space="preserve">[0 - 167937], [174943 - 229411]</t>
  </si>
  <si>
    <t xml:space="preserve">2023:09:18 11:46:39-05:00</t>
  </si>
  <si>
    <t xml:space="preserve">AB7B82AE-F77C-4D64-AB6C-D89A309053E8</t>
  </si>
  <si>
    <t xml:space="preserve">042b6bbc-ab87-4b52-9da3-68f75902e863</t>
  </si>
  <si>
    <t xml:space="preserve">2023-09-18 11:48:29</t>
  </si>
  <si>
    <t xml:space="preserve">[0 - 121943], [134007 - 209374]</t>
  </si>
  <si>
    <t xml:space="preserve">2023:11:28 15:40:09-06:00</t>
  </si>
  <si>
    <t xml:space="preserve">e8c59600-7f14-4b1b-8204-9d1ca15737c3</t>
  </si>
  <si>
    <t xml:space="preserve">8762bfe0-8d54-41a7-afb6-6537df7825d7</t>
  </si>
  <si>
    <t xml:space="preserve">2023:12:05 16:43:29-06:00</t>
  </si>
  <si>
    <t xml:space="preserve">F8A73431-6F1C-492B-A5EA-D370E89C7B1D</t>
  </si>
  <si>
    <t xml:space="preserve">8b6fc1e0-6744-4d3c-9a64-e41a1e92ad8c</t>
  </si>
  <si>
    <t xml:space="preserve">2024:01:26 07:55:32-06:00</t>
  </si>
  <si>
    <t xml:space="preserve">043589F5-2C4B-49CF-8FE5-75E94BCEFD27</t>
  </si>
  <si>
    <t xml:space="preserve">06a9f655-9c81-4c71-8c59-342e578c8d47</t>
  </si>
  <si>
    <t xml:space="preserve">2024-01-26 08:17:06</t>
  </si>
  <si>
    <t xml:space="preserve">[0 - 122066], [134130 - 211737]</t>
  </si>
  <si>
    <t xml:space="preserve">2024:01:26 14:35:15-06:00</t>
  </si>
  <si>
    <t xml:space="preserve">196D30B5-1F49-42D0-8871-172DD93152CA</t>
  </si>
  <si>
    <t xml:space="preserve">003e7669-1744-431a-8a9b-e9aad07d7a3a</t>
  </si>
  <si>
    <t xml:space="preserve">2024:03:19 14:54:51-05:00</t>
  </si>
  <si>
    <t xml:space="preserve">faf72368-69f4-488c-99ec-e739c34570f1</t>
  </si>
  <si>
    <t xml:space="preserve">c4cd0b8f-de36-4314-a47a-dc7d727a3ee0</t>
  </si>
  <si>
    <t xml:space="preserve">ADRIAN MICHAEL WESLEY</t>
  </si>
  <si>
    <t xml:space="preserve">2018:03:26 13:47:11-03:30</t>
  </si>
  <si>
    <t xml:space="preserve">04d149e6-fdf3-4c21-835d-dadb5b157242</t>
  </si>
  <si>
    <t xml:space="preserve">b5a5b1f4-9101-43bb-a749-c3824866f185</t>
  </si>
  <si>
    <t xml:space="preserve">db042efd-1aa8-4a30-b872-95781c99e89f</t>
  </si>
  <si>
    <t xml:space="preserve">ada49277-c392-4d88-96c0-cb0babc74444</t>
  </si>
  <si>
    <t xml:space="preserve">2018:10:23 09:25:54-03:30</t>
  </si>
  <si>
    <t xml:space="preserve">5481c417-3a48-458a-a2fe-5ddd194ca45a</t>
  </si>
  <si>
    <t xml:space="preserve">583fcfb3-e671-4c96-948c-6964c6e62cb1</t>
  </si>
  <si>
    <t xml:space="preserve">fe691f0f-df95-470d-8948-dee612b3e018</t>
  </si>
  <si>
    <t xml:space="preserve">27296183-62d0-407a-9760-f83abc327129</t>
  </si>
  <si>
    <t xml:space="preserve">2019:03:13 11:59:06-03:30</t>
  </si>
  <si>
    <t xml:space="preserve">31025c4a-1698-43d5-b993-d8f6aff44e08</t>
  </si>
  <si>
    <t xml:space="preserve">5e675804-6e6d-4c14-84c4-e08ed6706d36</t>
  </si>
  <si>
    <t xml:space="preserve">6386b6c0-0401-4cab-b698-2e5d6d488912</t>
  </si>
  <si>
    <t xml:space="preserve">0eadaee1-0fc9-46a7-a9ce-86f1ad8cabc0</t>
  </si>
  <si>
    <t xml:space="preserve">2019:10:02 11:53:54-03:30</t>
  </si>
  <si>
    <t xml:space="preserve">0cc436de-2d2d-4608-a8a6-2494e1ba4a42</t>
  </si>
  <si>
    <t xml:space="preserve">823d9674-830e-44c0-bec2-ee2c151070bb</t>
  </si>
  <si>
    <t xml:space="preserve">e2f4073a-db68-4221-aac2-8284e8d8cbb0</t>
  </si>
  <si>
    <t xml:space="preserve">f5a22fc7-68b1-4847-afc4-e32e21d231ca</t>
  </si>
  <si>
    <t xml:space="preserve">2020:01:23 09:15:15-06:00</t>
  </si>
  <si>
    <t xml:space="preserve">6000db44-261a-4873-a071-7c75aca3a9e7</t>
  </si>
  <si>
    <t xml:space="preserve">eb396814-aa45-4869-8fc9-ae814b737c99</t>
  </si>
  <si>
    <t xml:space="preserve">18558211-58f4-4ea2-8591-d86db13308ee</t>
  </si>
  <si>
    <t xml:space="preserve">2e1e7eec-fe19-460a-946a-b0e31a987fde</t>
  </si>
  <si>
    <t xml:space="preserve">a4905d95-b0cf-44b9-948b-2344ed057e8e</t>
  </si>
  <si>
    <t xml:space="preserve">655b0140-22ff-4cfa-8086-751b74048a7f</t>
  </si>
  <si>
    <t xml:space="preserve">db3436c3-0014-40fe-9edf-6733dc1ce78c</t>
  </si>
  <si>
    <t xml:space="preserve">ecbc497e-6d6a-490f-98ab-3ccb30f851b6</t>
  </si>
  <si>
    <t xml:space="preserve">2020:01:23 13:11:54-06:00</t>
  </si>
  <si>
    <t xml:space="preserve">2c970cc3-5bed-42cb-b35d-70178e3fb0f7</t>
  </si>
  <si>
    <t xml:space="preserve">f3a0162d-42af-4a48-afd5-35f4afa927b4</t>
  </si>
  <si>
    <t xml:space="preserve">cf4b692c-b62c-474e-8a7a-7f632f690fc7</t>
  </si>
  <si>
    <t xml:space="preserve">759e660c-3955-4b53-85ce-ff544c1d073f</t>
  </si>
  <si>
    <t xml:space="preserve">2020:01:24 14:24:20-06:00</t>
  </si>
  <si>
    <t xml:space="preserve">31d8f397-1236-4e15-887a-b5065fb324ec</t>
  </si>
  <si>
    <t xml:space="preserve">064c0525-be76-4900-9193-44d78223fad2</t>
  </si>
  <si>
    <t xml:space="preserve">b6144ef6-d14f-433e-9e0d-072bd70caa81</t>
  </si>
  <si>
    <t xml:space="preserve">e35511ee-c57c-471f-92c5-f1fb62adba73</t>
  </si>
  <si>
    <t xml:space="preserve">2020:05:08 15:43:00-05:00</t>
  </si>
  <si>
    <t xml:space="preserve">334a7afa-680e-4938-800b-76e3ebe38366</t>
  </si>
  <si>
    <t xml:space="preserve">e0001e01-fe68-40ce-b6cf-c63026c64057</t>
  </si>
  <si>
    <t xml:space="preserve">de2e7946-bb0d-41b0-9946-0e8a8aa7777d</t>
  </si>
  <si>
    <t xml:space="preserve">882353f7-36f6-476d-a03e-9b08f16b0790</t>
  </si>
  <si>
    <t xml:space="preserve">2021:05:11 08:13:17-05:00</t>
  </si>
  <si>
    <t xml:space="preserve">a80892ab-5ec1-4093-9036-686b695f8440</t>
  </si>
  <si>
    <t xml:space="preserve">39be17fc-9a4c-404c-9b08-fe8092feda80</t>
  </si>
  <si>
    <t xml:space="preserve">6322c3cf-75bd-4a9a-bc34-2ce636db0045</t>
  </si>
  <si>
    <t xml:space="preserve">87c5d6ed-f19e-4047-b561-9048b3d2fc60</t>
  </si>
  <si>
    <t xml:space="preserve">9519e558-f042-4394-8c9e-389ab81ea190</t>
  </si>
  <si>
    <t xml:space="preserve">44004ed1-6875-4673-a88e-91a57d66a851</t>
  </si>
  <si>
    <t xml:space="preserve">2022:02:17 10:51:56-06:00</t>
  </si>
  <si>
    <t xml:space="preserve">41935385-878d-4b3c-8e25-0eb98d8dda30</t>
  </si>
  <si>
    <t xml:space="preserve">4b39529c-c698-4ec7-831a-86bf62b7ddc7</t>
  </si>
  <si>
    <t xml:space="preserve">57c3f268-0fe1-4349-8a6c-def0decb4c96</t>
  </si>
  <si>
    <t xml:space="preserve">3061d39b-31ae-4d16-90d2-b1f33bf8aa30</t>
  </si>
  <si>
    <t xml:space="preserve">2022:12:27 12:05:55-06:00</t>
  </si>
  <si>
    <t xml:space="preserve">D2CB887D-40BF-4F6B-A656-08FD7B41B4E2</t>
  </si>
  <si>
    <t xml:space="preserve">6be1e2bf-eb6e-4a18-8156-6cce9de47490</t>
  </si>
  <si>
    <t xml:space="preserve">acfc1f13-7651-4a7c-8ba4-d2b6711433c8</t>
  </si>
  <si>
    <t xml:space="preserve">2022-12-27 16:01:24</t>
  </si>
  <si>
    <t xml:space="preserve">[0 - 74680], [86744 - 152019]</t>
  </si>
  <si>
    <t xml:space="preserve">f0482aaf-d631-4dcf-9f7b-95ff22ce26d4</t>
  </si>
  <si>
    <t xml:space="preserve">0b2d37e6-b3d5-4940-b17b-26045c9e530e</t>
  </si>
  <si>
    <t xml:space="preserve">2022:12:27 12:07:40-06:00</t>
  </si>
  <si>
    <t xml:space="preserve">C5AE9A7B-9393-402F-A2AD-1777A6880BD0</t>
  </si>
  <si>
    <t xml:space="preserve">769320b4-b1b5-4181-8115-82f07b72b192</t>
  </si>
  <si>
    <t xml:space="preserve">7620bb9a-cea7-4c0b-a649-f8ccdb195408</t>
  </si>
  <si>
    <t xml:space="preserve">d32fe0f3-fecb-4d4d-b369-fb10e611a014</t>
  </si>
  <si>
    <t xml:space="preserve">2024:01:09 17:31:03-06:00</t>
  </si>
  <si>
    <t xml:space="preserve">bf7fb7e1-46b3-4072-886f-6d43252c601b</t>
  </si>
  <si>
    <t xml:space="preserve">f96f885a-d3d6-4bea-be98-88db4a33b5cc</t>
  </si>
  <si>
    <t xml:space="preserve">f1454ee4-98ef-484c-aa9b-b07749b1e1d7</t>
  </si>
  <si>
    <t xml:space="preserve">d3655182-6183-4b4d-83ec-b73c7e0dc7d1</t>
  </si>
  <si>
    <t xml:space="preserve">2024:01:30 16:17:39-06:00</t>
  </si>
  <si>
    <t xml:space="preserve">0D6C5513-5F08-42B4-B1ED-340AF0B01D24</t>
  </si>
  <si>
    <t xml:space="preserve">69cf149a-6b2a-42d4-bd51-f58489bf42ee</t>
  </si>
  <si>
    <t xml:space="preserve">0431aee5-81e2-488d-bdde-66211a287325</t>
  </si>
  <si>
    <t xml:space="preserve">2024:03:19 16:32:14-05:00</t>
  </si>
  <si>
    <t xml:space="preserve">8B238C7F-9619-4740-B68B-BDE0D2B16F4A</t>
  </si>
  <si>
    <t xml:space="preserve">2024:04:11 08:35:11-05:00</t>
  </si>
  <si>
    <t xml:space="preserve">e58c1343-4ae9-425b-9988-f4ff5af37452</t>
  </si>
  <si>
    <t xml:space="preserve">1474b7fa-9539-42af-8db8-d9c222126d16</t>
  </si>
  <si>
    <t xml:space="preserve">2024-04-11 08:35:56</t>
  </si>
  <si>
    <t xml:space="preserve">[0 - 157337], [169389 - 200740]</t>
  </si>
  <si>
    <t xml:space="preserve">2024-04-11 09:22:58</t>
  </si>
  <si>
    <t xml:space="preserve">[0 - 201137], [208165 - 279632]</t>
  </si>
  <si>
    <t xml:space="preserve">Rex Allen Basswood, Jr.</t>
  </si>
  <si>
    <t xml:space="preserve">2022:02:23 13:40:37-06:00</t>
  </si>
  <si>
    <t xml:space="preserve">3C6986B5-68C3-4947-89E5-23F44B52D07F</t>
  </si>
  <si>
    <t xml:space="preserve">942f6826-359b-4b52-9272-8f9ab952ee62</t>
  </si>
  <si>
    <t xml:space="preserve">2022:06:21 14:31:17-05:00</t>
  </si>
  <si>
    <t xml:space="preserve">e80c8eb7-519c-4321-928f-940d5fe15226</t>
  </si>
  <si>
    <t xml:space="preserve">10c3e1e5-062c-451c-999c-9e7a6e62f291</t>
  </si>
  <si>
    <t xml:space="preserve">Caligiuri, Hilary</t>
  </si>
  <si>
    <t xml:space="preserve">2022-06-21 16:11:08</t>
  </si>
  <si>
    <t xml:space="preserve">[0 - 298387], [308467 - 316115]</t>
  </si>
  <si>
    <t xml:space="preserve">2022:09:02 15:27:57-05:00</t>
  </si>
  <si>
    <t xml:space="preserve">5E574D05-5F31-4C76-8247-6361C7D94402</t>
  </si>
  <si>
    <t xml:space="preserve">b8bd632c-7640-4128-8f61-dc4d6392cd78</t>
  </si>
  <si>
    <t xml:space="preserve">2022-09-06 12:49:43</t>
  </si>
  <si>
    <t xml:space="preserve">[0 - 145932], [156144 - 165509]</t>
  </si>
  <si>
    <t xml:space="preserve">2022:12:30 14:50:35-06:00</t>
  </si>
  <si>
    <t xml:space="preserve">CE9078F2-1291-4FE2-8D04-1A51A59D3147</t>
  </si>
  <si>
    <t xml:space="preserve">27168545-a101-4954-ac39-9a850286a417</t>
  </si>
  <si>
    <t xml:space="preserve">2022-12-30 16:10:53</t>
  </si>
  <si>
    <t xml:space="preserve">[0 - 245392], [252398 - 312285]</t>
  </si>
  <si>
    <t xml:space="preserve">2023:01:03 09:27:46-06:00</t>
  </si>
  <si>
    <t xml:space="preserve">2EB266ED-E022-4FA8-8EA7-B3A74CE85D47</t>
  </si>
  <si>
    <t xml:space="preserve">640712a6-8da7-4933-9842-8061b493f5bc</t>
  </si>
  <si>
    <t xml:space="preserve">90ad95f0-f291-4eb8-b87e-4682ba00d603</t>
  </si>
  <si>
    <t xml:space="preserve">2023:03:07 16:23:32-06:00</t>
  </si>
  <si>
    <t xml:space="preserve">9d6b3265-1753-4bf8-a3d8-9cd4311df1a1</t>
  </si>
  <si>
    <t xml:space="preserve">be1976d2-6017-4843-b7d6-ba09bac9c193</t>
  </si>
  <si>
    <t xml:space="preserve">2023-03-07 16:51:17</t>
  </si>
  <si>
    <t xml:space="preserve">[0 - 200479], [207507 - 268574]</t>
  </si>
  <si>
    <t xml:space="preserve">2023:06:27 08:01:36-05:00</t>
  </si>
  <si>
    <t xml:space="preserve">F6344067-FD3A-4EEE-9D2B-2FAFA765CEFF</t>
  </si>
  <si>
    <t xml:space="preserve">9d1bbca1-95dc-450b-90e8-012f59efe1d7</t>
  </si>
  <si>
    <t xml:space="preserve">2023-06-27 10:03:29</t>
  </si>
  <si>
    <t xml:space="preserve">[0 - 148367], [155373 - 229300]</t>
  </si>
  <si>
    <t xml:space="preserve">2023:09:05 14:58:39-05:00</t>
  </si>
  <si>
    <t xml:space="preserve">3b847b84-a5bd-4116-a3bf-8f7bb7007f93</t>
  </si>
  <si>
    <t xml:space="preserve">8c4716a0-abf9-4072-9c4c-904d43ab3f38</t>
  </si>
  <si>
    <t xml:space="preserve">2023:09:14 12:32:31-05:00</t>
  </si>
  <si>
    <t xml:space="preserve">546B77A7-DD2E-4500-B2C7-FCDE657B449D</t>
  </si>
  <si>
    <t xml:space="preserve">ce1e735b-7eef-4297-bf64-6a36bb04312d</t>
  </si>
  <si>
    <t xml:space="preserve">2023:11:29 14:32:27-06:00</t>
  </si>
  <si>
    <t xml:space="preserve">5F3B7BC9-6F8A-4E30-BB94-934FCFB22CA2</t>
  </si>
  <si>
    <t xml:space="preserve">892d42c6-e71e-46af-8b09-e0a248fcbef6</t>
  </si>
  <si>
    <t xml:space="preserve">2024:02:01 16:03:06-06:00</t>
  </si>
  <si>
    <t xml:space="preserve">c0fc8ca0-0add-4d45-8c93-4e8b0160d01e</t>
  </si>
  <si>
    <t xml:space="preserve">28874e32-6dfe-4809-bd9a-55f9b83cc49c</t>
  </si>
  <si>
    <t xml:space="preserve">2024-02-01 16:03:22</t>
  </si>
  <si>
    <t xml:space="preserve">[0 - 80549], [88145 - 192835]</t>
  </si>
  <si>
    <t xml:space="preserve">2024:02:07 13:54:11-06:00</t>
  </si>
  <si>
    <t xml:space="preserve">F4BC9138-34B2-4F54-A75B-239BE5A9DE72</t>
  </si>
  <si>
    <t xml:space="preserve">97380901-0e43-42f2-a9b7-7c7c643438f0</t>
  </si>
  <si>
    <t xml:space="preserve">2024-02-07 14:23:10</t>
  </si>
  <si>
    <t xml:space="preserve">[0 - 126846], [134442 - 143727]</t>
  </si>
  <si>
    <t xml:space="preserve">Daniel Lamar Ford</t>
  </si>
  <si>
    <t xml:space="preserve">2022:01:27 15:44:27-06:00</t>
  </si>
  <si>
    <t xml:space="preserve">B722086C-02E4-456A-97B9-87346213F420</t>
  </si>
  <si>
    <t xml:space="preserve">590c3822-a7bc-4b44-a6c8-14268b1bd65a</t>
  </si>
  <si>
    <t xml:space="preserve">ff8c70f5-ceae-4d01-8104-f5812c702ec5</t>
  </si>
  <si>
    <t xml:space="preserve">2023:06:28 18:09:49-05:00</t>
  </si>
  <si>
    <t xml:space="preserve">8FF7BB46-ABC7-4BF9-9891-C44A0E2C9611</t>
  </si>
  <si>
    <t xml:space="preserve">20360e23-adef-46b5-96ba-223d8e1b8a95</t>
  </si>
  <si>
    <t xml:space="preserve">2023:11:09 14:47:43-06:00</t>
  </si>
  <si>
    <t xml:space="preserve">D3AC8228-8F6A-4C8E-97F7-3B6250ABBE3C</t>
  </si>
  <si>
    <t xml:space="preserve">15cd5074-3065-4fc0-a566-5c9fa4a801fe</t>
  </si>
  <si>
    <t xml:space="preserve">2023:11:09 15:02:03-06:00</t>
  </si>
  <si>
    <t xml:space="preserve">656DFBAF-3AD2-4A17-94E1-73EFC22D1C3B</t>
  </si>
  <si>
    <t xml:space="preserve">1372f221-66ff-4835-ab2e-b2e17cde24fc</t>
  </si>
  <si>
    <t xml:space="preserve">2024:01:23 16:51:04-06:00</t>
  </si>
  <si>
    <t xml:space="preserve">a4c41a3e-5a02-4434-b8ea-49e833501d95</t>
  </si>
  <si>
    <t xml:space="preserve">d5ed3a0d-b8c5-45d5-917d-6203d078deb7</t>
  </si>
  <si>
    <t xml:space="preserve">5de8c44a-e7b1-4ada-8dee-780163daecc7</t>
  </si>
  <si>
    <t xml:space="preserve">2024:03:12 13:40:03-05:00</t>
  </si>
  <si>
    <t xml:space="preserve">1cad87fe-8500-4205-8d29-0560edeba57a</t>
  </si>
  <si>
    <t xml:space="preserve">51c2ab0d-e442-4510-97b8-9bab0193b669</t>
  </si>
  <si>
    <t xml:space="preserve">TERRELL JOHNSON</t>
  </si>
  <si>
    <t xml:space="preserve">6bc08080-e53f-4dc2-939f-1dc0bcd5bb3f</t>
  </si>
  <si>
    <t xml:space="preserve">580c095b-18b4-4e14-95c8-02e600bbe49c</t>
  </si>
  <si>
    <t xml:space="preserve">2019:10:07 08:52:18-03:30</t>
  </si>
  <si>
    <t xml:space="preserve">c0fe9223-d06d-488a-b3b9-27811046464f</t>
  </si>
  <si>
    <t xml:space="preserve">f2435c13-ed9d-4712-b8f1-ca34e4c5188e</t>
  </si>
  <si>
    <t xml:space="preserve">a94fa91e-b5d1-4a86-a89b-ac0e15d411f1</t>
  </si>
  <si>
    <t xml:space="preserve">2019:10:07 14:25:54-05:00</t>
  </si>
  <si>
    <t xml:space="preserve">83f8d66a-70b0-44a5-b3ba-44daeacdc7ea</t>
  </si>
  <si>
    <t xml:space="preserve">0d64db7d-6128-4ab9-9a43-25cf15992943</t>
  </si>
  <si>
    <t xml:space="preserve">Lamas, Carolina</t>
  </si>
  <si>
    <t xml:space="preserve">2019-10-08 14:26:58</t>
  </si>
  <si>
    <t xml:space="preserve">[0 - 114967], [125023 - 143340]</t>
  </si>
  <si>
    <t xml:space="preserve">2020:01:24 13:59:01-06:00</t>
  </si>
  <si>
    <t xml:space="preserve">695b8e91-0f0a-4027-af2c-0e7ffa72f5f0</t>
  </si>
  <si>
    <t xml:space="preserve">d3328ac1-6e6a-419d-be34-f7cf25b3d352</t>
  </si>
  <si>
    <t xml:space="preserve">bf8abd08-4536-471d-ab81-f0db205cae4d</t>
  </si>
  <si>
    <t xml:space="preserve">2020:02:06 16:12:44-06:00</t>
  </si>
  <si>
    <t xml:space="preserve">144363d7-6d17-4054-8581-84c90ab1fcf7</t>
  </si>
  <si>
    <t xml:space="preserve">9605a64f-ae72-438c-b8e1-6417d7534d76</t>
  </si>
  <si>
    <t xml:space="preserve">c04b5903-789c-4ac2-83c1-b5c76fea7f54</t>
  </si>
  <si>
    <t xml:space="preserve">2020:03:25 14:47:21-03:30</t>
  </si>
  <si>
    <t xml:space="preserve">e871246c-a5da-4734-a9c0-f18adf26de74</t>
  </si>
  <si>
    <t xml:space="preserve">9c0529d2-34d0-4ba4-9e9b-8cc07f93137c</t>
  </si>
  <si>
    <t xml:space="preserve">afb2a9d8-3407-40a2-97cd-f03ec1c7ac80</t>
  </si>
  <si>
    <t xml:space="preserve">2020:03:25 14:47:37-03:30</t>
  </si>
  <si>
    <t xml:space="preserve">d6ec4edc-b4e8-4ae5-a913-fee7dc89dfb4</t>
  </si>
  <si>
    <t xml:space="preserve">3db97bd1-d969-48b1-aec8-b8217ddddde3</t>
  </si>
  <si>
    <t xml:space="preserve">9f281cee-3ed9-4760-8560-a4bb7f4cae66</t>
  </si>
  <si>
    <t xml:space="preserve">2020:06:11 09:27:34-05:00</t>
  </si>
  <si>
    <t xml:space="preserve">f3bd7548-a555-4d07-9488-42b464ff87dc</t>
  </si>
  <si>
    <t xml:space="preserve">7f3eca0f-aba0-4623-a73c-2a0da5818e5b</t>
  </si>
  <si>
    <t xml:space="preserve">14d42394-3875-4497-a642-d48812c23129</t>
  </si>
  <si>
    <t xml:space="preserve">a17ac4d8-153b-4e5c-bbf7-f0d6e67a08bc</t>
  </si>
  <si>
    <t xml:space="preserve">2020:08:24 15:33:54-03:30</t>
  </si>
  <si>
    <t xml:space="preserve">f7092dde-4575-49b0-bd3f-ea910cec81b9</t>
  </si>
  <si>
    <t xml:space="preserve">a6adc6a4-e0ad-45c5-bd4a-ca5a0d99d199</t>
  </si>
  <si>
    <t xml:space="preserve">2020:09:10 12:56:01-05:00</t>
  </si>
  <si>
    <t xml:space="preserve">e0575de7-6df7-4d08-8859-5386a0f1a136</t>
  </si>
  <si>
    <t xml:space="preserve">441fb9ca-f5d4-42cc-b19b-a34d88ea4fee</t>
  </si>
  <si>
    <t xml:space="preserve">2020:10:23 12:16:57-05:00</t>
  </si>
  <si>
    <t xml:space="preserve">7ce80c74-5ae2-4756-9e99-ce3da75fa890</t>
  </si>
  <si>
    <t xml:space="preserve">52deb7b1-bdc4-4ee5-bd3f-9f923919309a</t>
  </si>
  <si>
    <t xml:space="preserve">bc7f4ef2-cd23-4281-8f14-a3e1dea0d328</t>
  </si>
  <si>
    <t xml:space="preserve">af0b78d6-4f5f-42cc-8f3b-9f904c59965b</t>
  </si>
  <si>
    <t xml:space="preserve">2021:02:22 10:47:18-06:00</t>
  </si>
  <si>
    <t xml:space="preserve">a966dbab-c8a4-462f-b2de-d5ba59eb9c95</t>
  </si>
  <si>
    <t xml:space="preserve">8f020cbe-b67b-44a6-96db-b74f5f9eb80e</t>
  </si>
  <si>
    <t xml:space="preserve">0031c5eb-66c6-45c3-9d5b-6b022b80fecd</t>
  </si>
  <si>
    <t xml:space="preserve">d66e9b04-f88b-4dc6-925a-c66d4c9eac9b</t>
  </si>
  <si>
    <t xml:space="preserve">2021:05:19 14:08:28-05:00</t>
  </si>
  <si>
    <t xml:space="preserve">b394ed69-6963-483e-ac40-1133bbd64a1c</t>
  </si>
  <si>
    <t xml:space="preserve">ccbd4e45-9adc-4d30-840d-ed35e7db3c4a</t>
  </si>
  <si>
    <t xml:space="preserve">2022:01:18 16:59:22-06:00</t>
  </si>
  <si>
    <t xml:space="preserve">3283704F-0422-4C5D-B5FF-1C62F1E506EC</t>
  </si>
  <si>
    <t xml:space="preserve">Allyn, Julie</t>
  </si>
  <si>
    <t xml:space="preserve">2022-01-18 17:11:08</t>
  </si>
  <si>
    <t xml:space="preserve">[0 - 268739], [280785 - 366102]</t>
  </si>
  <si>
    <t xml:space="preserve">2022:02:16 12:56:18-06:00</t>
  </si>
  <si>
    <t xml:space="preserve">8bdd6a98-9783-40c2-aa49-01018d90693f</t>
  </si>
  <si>
    <t xml:space="preserve">4d6e45b9-ebbe-4508-8d17-594e7e2f13ff</t>
  </si>
  <si>
    <t xml:space="preserve">2022-02-16 14:02:40</t>
  </si>
  <si>
    <t xml:space="preserve">[0 - 433533], [445579 - 512283]</t>
  </si>
  <si>
    <t xml:space="preserve">2022:03:07 15:40:18-06:00</t>
  </si>
  <si>
    <t xml:space="preserve">01f391d8-dd4a-458d-b540-e84e230028db</t>
  </si>
  <si>
    <t xml:space="preserve">24ccbacf-6a30-4390-85da-02cbe595a11b</t>
  </si>
  <si>
    <t xml:space="preserve">2022:03:10 07:55:14-06:00</t>
  </si>
  <si>
    <t xml:space="preserve">7b344e85-0e17-4ddc-a905-927ca26bdf91</t>
  </si>
  <si>
    <t xml:space="preserve">66b81f25-a29f-4ada-a8df-bc0b2873e8cc</t>
  </si>
  <si>
    <t xml:space="preserve">2022:03:11 15:01:03-06:00</t>
  </si>
  <si>
    <t xml:space="preserve">E0E9A7E3-E58A-41FE-B6BF-78551BC899C6</t>
  </si>
  <si>
    <t xml:space="preserve">da3974bc-6983-4604-b1fa-ac8a94be0cd9</t>
  </si>
  <si>
    <t xml:space="preserve">0437dc94-0d41-410a-b3a0-02dce038bd0f</t>
  </si>
  <si>
    <t xml:space="preserve">fac7a9eb-9c2d-4bcd-a0f8-badbda9c95da</t>
  </si>
  <si>
    <t xml:space="preserve">5437066f-c8db-4b57-9ac4-03c437cf0a9c</t>
  </si>
  <si>
    <t xml:space="preserve">fae5b0e1-91c0-420b-82ac-5166a7c6c337</t>
  </si>
  <si>
    <t xml:space="preserve">d11df7d5-0b80-4631-9898-e0cc031e7c8d</t>
  </si>
  <si>
    <t xml:space="preserve">2ead2f17-60b2-46c3-9dda-076594dce68b</t>
  </si>
  <si>
    <t xml:space="preserve">2022:04:21 14:33:24-05:00</t>
  </si>
  <si>
    <t xml:space="preserve">AC8EF0A7-39B7-4FCD-B307-C22DD8B55F13</t>
  </si>
  <si>
    <t xml:space="preserve">78976066-5437-4290-bf6e-fa195db7ef0d</t>
  </si>
  <si>
    <t xml:space="preserve">48438b63-803c-486a-a52e-ddb697628db2</t>
  </si>
  <si>
    <t xml:space="preserve">2022:06:14 10:51:33-05:00</t>
  </si>
  <si>
    <t xml:space="preserve">8e0412bc-4533-4bb7-948c-068752d37dfd</t>
  </si>
  <si>
    <t xml:space="preserve">1d11779a-e9be-4a86-94dd-67d1e3a54f54</t>
  </si>
  <si>
    <t xml:space="preserve">2022:11:07 13:30:19-06:00</t>
  </si>
  <si>
    <t xml:space="preserve">14256698-E0F7-4C96-BB4F-63573F536513</t>
  </si>
  <si>
    <t xml:space="preserve">5f86b9a0-ca90-4612-83aa-d725a4e7cc8a</t>
  </si>
  <si>
    <t xml:space="preserve">e20cb7b8-fd3d-448e-97a1-5fd2aa477a26</t>
  </si>
  <si>
    <t xml:space="preserve">3129510c-fe67-4fb8-8317-ea34d5b52163</t>
  </si>
  <si>
    <t xml:space="preserve">e1738f62-832c-42a2-8867-1be1732a1caf</t>
  </si>
  <si>
    <t xml:space="preserve">7628ac48-3aa1-46a1-bbc5-8fd2d1639136</t>
  </si>
  <si>
    <t xml:space="preserve">09599974-6b1e-4fea-a4c9-347a4f7b058e</t>
  </si>
  <si>
    <t xml:space="preserve">bbc6011c-3a4a-48d2-9a76-dad078d136bb</t>
  </si>
  <si>
    <t xml:space="preserve">d5e91f65-1fb2-4af1-bdc8-e199b8563c5f</t>
  </si>
  <si>
    <t xml:space="preserve">2022:11:07 13:31:55-06:00</t>
  </si>
  <si>
    <t xml:space="preserve">6A9ED5D9-70EB-450B-A57B-C0450E810100</t>
  </si>
  <si>
    <t xml:space="preserve">7c9cc564-c5fb-4fad-b3cc-4e9cd23abd2f</t>
  </si>
  <si>
    <t xml:space="preserve">e96ec0ed-cb5c-4dae-9e5b-5d7814ce9d47</t>
  </si>
  <si>
    <t xml:space="preserve">20de2527-29a6-4db6-b6c8-bf693ce2df5e</t>
  </si>
  <si>
    <t xml:space="preserve">a9a51942-505e-4caf-b587-7712b5a00522</t>
  </si>
  <si>
    <t xml:space="preserve">c25b71df-9b9f-48ea-8833-a4c685d4fb41</t>
  </si>
  <si>
    <t xml:space="preserve">d71002e3-20e4-4fe0-be91-416ac363dd57</t>
  </si>
  <si>
    <t xml:space="preserve">106fa509-130f-49f1-a18d-17c8b9bebd41</t>
  </si>
  <si>
    <t xml:space="preserve">6b289c46-a218-4c8f-8da2-901516a84584</t>
  </si>
  <si>
    <t xml:space="preserve">2022:12:23 19:33:12-06:00</t>
  </si>
  <si>
    <t xml:space="preserve">5ED945EE-D9B2-4238-85E1-640CB93F7CF4</t>
  </si>
  <si>
    <t xml:space="preserve">057b520e-8535-4342-9da6-725ac72d5c77</t>
  </si>
  <si>
    <t xml:space="preserve">2023:01:09 16:02:24-06:00</t>
  </si>
  <si>
    <t xml:space="preserve">ADF1701C-3180-4793-9FF1-14986ED652A2</t>
  </si>
  <si>
    <t xml:space="preserve">1c05ba68-3a25-4329-80f0-1de6fb0be9cc</t>
  </si>
  <si>
    <t xml:space="preserve">2023-01-09 16:10:55</t>
  </si>
  <si>
    <t xml:space="preserve">[0 - 151603], [158609 - 233336]</t>
  </si>
  <si>
    <t xml:space="preserve">2023:08:29 14:20:45-05:00</t>
  </si>
  <si>
    <t xml:space="preserve">8ADDDC65-CCE6-4F63-98F4-CD4D557DAFE1</t>
  </si>
  <si>
    <t xml:space="preserve">b5bab0d5-cdde-455a-9f86-918f5962b11f</t>
  </si>
  <si>
    <t xml:space="preserve">2023:12:22 08:33:39-06:00</t>
  </si>
  <si>
    <t xml:space="preserve">1689210c-e221-41f8-bc7e-056d1a2d8ba5</t>
  </si>
  <si>
    <t xml:space="preserve">d6aa5775-0482-4853-beb1-ce9946fb5890</t>
  </si>
  <si>
    <t xml:space="preserve">2024:02:27 17:42:45-06:00</t>
  </si>
  <si>
    <t xml:space="preserve">986b4962-fb11-4638-b63d-592ba363f8ae</t>
  </si>
  <si>
    <t xml:space="preserve">fa4d83b7-09e9-43b1-8e36-e6c8bee03187</t>
  </si>
  <si>
    <t xml:space="preserve">2024:03:06 10:11:44-06:00</t>
  </si>
  <si>
    <t xml:space="preserve">df85e0e7-f0d6-41db-8fcd-4c8c92acbc96</t>
  </si>
  <si>
    <t xml:space="preserve">a8a8ab74-31cb-4776-93dd-12ca88d00a3d</t>
  </si>
  <si>
    <t xml:space="preserve">2024:03:12 13:57:53-05:00</t>
  </si>
  <si>
    <t xml:space="preserve">7359441a-45a2-4b41-b25f-f155a194a02b</t>
  </si>
  <si>
    <t xml:space="preserve">aa0c97a0-da3e-46cb-8ec0-1381d69cbfab</t>
  </si>
  <si>
    <t xml:space="preserve">2024:03:12 14:18:51-05:00</t>
  </si>
  <si>
    <t xml:space="preserve">8701548e-e70b-4047-9f13-2b66123ae5b6</t>
  </si>
  <si>
    <t xml:space="preserve">86c3d5f5-2af7-4789-8d49-bce1aad9eac8</t>
  </si>
  <si>
    <t xml:space="preserve">2024:03:21 15:08:44-05:00</t>
  </si>
  <si>
    <t xml:space="preserve">451a28be-a405-4653-9784-0c2ddf1eb7ce</t>
  </si>
  <si>
    <t xml:space="preserve">a77c18e9-bac0-4412-b179-0179da491fa1</t>
  </si>
  <si>
    <t xml:space="preserve">MAKIS DEVELL LANE</t>
  </si>
  <si>
    <t xml:space="preserve">e49e1488-f03c-48ee-ab6d-2a7ae5443006</t>
  </si>
  <si>
    <t xml:space="preserve">826e143a-5d4a-4052-98e6-e3cb0247f944</t>
  </si>
  <si>
    <t xml:space="preserve">2020:04:30 12:45:19-05:00</t>
  </si>
  <si>
    <t xml:space="preserve">ba5676af-4515-4198-8d95-3cb9108b7a53</t>
  </si>
  <si>
    <t xml:space="preserve">1139f531-c946-441c-a88d-2d2565548890</t>
  </si>
  <si>
    <t xml:space="preserve">2020:05:19 10:28:51-05:00</t>
  </si>
  <si>
    <t xml:space="preserve">66220c76-c3db-4732-82d1-37af438b7dfb</t>
  </si>
  <si>
    <t xml:space="preserve">a9677dd5-1ebe-45af-8824-ddc23143a9d9</t>
  </si>
  <si>
    <t xml:space="preserve">2020:11:25 11:50:33-06:00</t>
  </si>
  <si>
    <t xml:space="preserve">b57b69c3-a763-4eab-a1b9-b222688edcbc</t>
  </si>
  <si>
    <t xml:space="preserve">6029dea1-26af-4510-a8e6-645387536c5f</t>
  </si>
  <si>
    <t xml:space="preserve">2021:09:10 15:29:26-05:00</t>
  </si>
  <si>
    <t xml:space="preserve">b1e43f8d-b21c-4327-972f-c3f881b7eb2a</t>
  </si>
  <si>
    <t xml:space="preserve">050dd3aa-c2e5-4d21-9070-951060d00a42</t>
  </si>
  <si>
    <t xml:space="preserve">MAKIS DEVIL LANE</t>
  </si>
  <si>
    <t xml:space="preserve">2022:06:06 10:48:36-05:00</t>
  </si>
  <si>
    <t xml:space="preserve">03d3f0d6-44a3-4056-9b2b-4967f151960d</t>
  </si>
  <si>
    <t xml:space="preserve">32b6c836-3e54-42d4-b380-db3860cc1c84</t>
  </si>
  <si>
    <t xml:space="preserve">MAKIS DUVELL LANE</t>
  </si>
  <si>
    <t xml:space="preserve">2022:06:23 16:22:21-05:00</t>
  </si>
  <si>
    <t xml:space="preserve">170d7ee9-2e79-4b81-95f9-21324d181ef3</t>
  </si>
  <si>
    <t xml:space="preserve">cd3a490f-0718-4b5e-aa4f-b39bb8187ba8</t>
  </si>
  <si>
    <t xml:space="preserve">59c8d4c7-03ed-4e86-a2fb-156b3d537c10</t>
  </si>
  <si>
    <t xml:space="preserve">2022:06:23 16:25:56-05:00</t>
  </si>
  <si>
    <t xml:space="preserve">aeac00c5-a7da-47ab-8fe0-cf9f083640af</t>
  </si>
  <si>
    <t xml:space="preserve">2a67ac2b-849b-41f4-8739-455fdadb925d</t>
  </si>
  <si>
    <t xml:space="preserve">ee6b0bff-3399-4900-9116-d940e95ff4c5</t>
  </si>
  <si>
    <t xml:space="preserve">35b2eedc-1d09-4bba-b1bc-e90f3c96df8b</t>
  </si>
  <si>
    <t xml:space="preserve">2023:04:19 09:37:30-05:00</t>
  </si>
  <si>
    <t xml:space="preserve">1d6e7eea-31d6-4e14-b0f5-6cbf4f3fa18d</t>
  </si>
  <si>
    <t xml:space="preserve">8826b7e2-7132-4bca-89b8-4a3396008dda</t>
  </si>
  <si>
    <t xml:space="preserve">2023:05:15 15:36:42-05:00</t>
  </si>
  <si>
    <t xml:space="preserve">43424a36-5ca9-4a6f-bf13-900fe568a608</t>
  </si>
  <si>
    <t xml:space="preserve">1a17c816-4a0a-4486-9eb6-fbf6e78284ca</t>
  </si>
  <si>
    <t xml:space="preserve">2023:05:15 15:49:04-03:30</t>
  </si>
  <si>
    <t xml:space="preserve">2d15fdc9-27e3-46bc-87ac-e9c2192f823c</t>
  </si>
  <si>
    <t xml:space="preserve">6ef4f1ba-df73-4316-84af-06a8fd679c48</t>
  </si>
  <si>
    <t xml:space="preserve">2023:05:15 16:01:00-03:30</t>
  </si>
  <si>
    <t xml:space="preserve">2bfb9a6e-421f-44a9-bae2-82e36b34cebb</t>
  </si>
  <si>
    <t xml:space="preserve">8a13f0b7-d5b6-4f92-b755-282d37bc52e6</t>
  </si>
  <si>
    <t xml:space="preserve">2023:06:13 11:03:50-05:00</t>
  </si>
  <si>
    <t xml:space="preserve">e6d0a522-f66f-488c-abc3-4f3d5f59e665</t>
  </si>
  <si>
    <t xml:space="preserve">d9b625f2-1e1c-4cdd-b156-7386e99e1380</t>
  </si>
  <si>
    <t xml:space="preserve">2023:06:13 11:05:21-05:00</t>
  </si>
  <si>
    <t xml:space="preserve">40f9c3a1-f5fa-455e-9a11-ba54e46402d6</t>
  </si>
  <si>
    <t xml:space="preserve">aec547fa-e777-4310-8b42-f02a44d5e409</t>
  </si>
  <si>
    <t xml:space="preserve">2023:07:18 16:49:23-05:00</t>
  </si>
  <si>
    <t xml:space="preserve">767d607f-4ef7-4864-8abc-9d0594e19145</t>
  </si>
  <si>
    <t xml:space="preserve">c7b78f32-1f58-410c-a31e-f590a9281d49</t>
  </si>
  <si>
    <t xml:space="preserve">2023:07:19 07:39:59-05:00</t>
  </si>
  <si>
    <t xml:space="preserve">1C3D8533-3BD6-496B-A8AF-36ED15F9951D</t>
  </si>
  <si>
    <t xml:space="preserve">912581dd-c100-4241-8b18-ab209b921ac9</t>
  </si>
  <si>
    <t xml:space="preserve">2023:07:19 07:51:34-05:00</t>
  </si>
  <si>
    <t xml:space="preserve">459CEC57-8DAC-48CE-A75C-141FE4031245</t>
  </si>
  <si>
    <t xml:space="preserve">ae2e1a0e-c377-4ce5-a58e-1f5a50500bdc</t>
  </si>
  <si>
    <t xml:space="preserve">2023:08:01 13:27:45-05:00</t>
  </si>
  <si>
    <t xml:space="preserve">2B8430BE-4AEE-4B22-B069-2B9064240EC7</t>
  </si>
  <si>
    <t xml:space="preserve">8a5fb215-ad75-4e4e-84fd-6f81048a2252</t>
  </si>
  <si>
    <t xml:space="preserve">2023:09:19 18:24:44-05:00</t>
  </si>
  <si>
    <t xml:space="preserve">64bf259d-4a3e-437a-bda5-6c0890a53316</t>
  </si>
  <si>
    <t xml:space="preserve">23fb4d42-5653-4896-b51d-f55b57ce86dc</t>
  </si>
  <si>
    <t xml:space="preserve">2023:09:22 10:47:57-05:00</t>
  </si>
  <si>
    <t xml:space="preserve">CA03A6A1-F6E0-4455-B517-7B70A1B4C3E4</t>
  </si>
  <si>
    <t xml:space="preserve">c2e98335-8ae1-4484-b4b3-fa9b2119cc83</t>
  </si>
  <si>
    <t xml:space="preserve">2023:10:11 12:04:38-05:00</t>
  </si>
  <si>
    <t xml:space="preserve">40362d8d-cfee-42be-8979-5e770164bdb6</t>
  </si>
  <si>
    <t xml:space="preserve">31551255-f72d-46ad-9774-27c205178081</t>
  </si>
  <si>
    <t xml:space="preserve">2023:12:12 14:42:21-06:00</t>
  </si>
  <si>
    <t xml:space="preserve">9e6ee9fe-9655-41e9-8694-3aa285e44f7f</t>
  </si>
  <si>
    <t xml:space="preserve">73bb980a-b9a3-4233-9ad7-3895c6c7b970</t>
  </si>
  <si>
    <t xml:space="preserve">2023:12:12 14:57:08-06:00</t>
  </si>
  <si>
    <t xml:space="preserve">0d153cf3-b702-4632-9a73-40f3884ea5df</t>
  </si>
  <si>
    <t xml:space="preserve">b76b43fb-661a-4349-ac65-17a336a0e40c</t>
  </si>
  <si>
    <t xml:space="preserve">2023:12:14 13:31:56-06:00</t>
  </si>
  <si>
    <t xml:space="preserve">40236C0A-30FA-4E39-98A9-30B202889E2C</t>
  </si>
  <si>
    <t xml:space="preserve">c9b22853-8d62-44c1-8b41-6c9f73ff1726</t>
  </si>
  <si>
    <t xml:space="preserve">2023:12:26 11:02:18-06:00</t>
  </si>
  <si>
    <t xml:space="preserve">2C7ADDEB-666E-4C33-8948-92D824E4B462</t>
  </si>
  <si>
    <t xml:space="preserve">180c04de-d1cc-4cf4-8e6c-ed5477e3d2f8</t>
  </si>
  <si>
    <t xml:space="preserve">75912646-7991-498c-b5fc-8168c81fb89e</t>
  </si>
  <si>
    <t xml:space="preserve">c4d7839a-a22c-44a0-aa29-60985296a6d0</t>
  </si>
  <si>
    <t xml:space="preserve">6efc6c7c-b828-4929-9a16-e6d508827f11</t>
  </si>
  <si>
    <t xml:space="preserve">dbf91805-cd96-4a01-8279-307ec6512734</t>
  </si>
  <si>
    <t xml:space="preserve">2024:02:01 08:39:09-06:00</t>
  </si>
  <si>
    <t xml:space="preserve">EBEB3816-BB62-4B9C-9A46-A3A20EB36D84</t>
  </si>
  <si>
    <t xml:space="preserve">0fa656f3-c92a-4d74-b1b7-48463218a446</t>
  </si>
  <si>
    <t xml:space="preserve">05d5e1d1-751b-45c3-98a0-40d5d441c311</t>
  </si>
  <si>
    <t xml:space="preserve">2024:04:05 11:49:10-05:00</t>
  </si>
  <si>
    <t xml:space="preserve">5D5BCF06-62B2-4D16-8B9C-B93CCC6D5D9D</t>
  </si>
  <si>
    <t xml:space="preserve">fabc91e4-0f02-4b8d-b92c-0a328da200fe</t>
  </si>
  <si>
    <t xml:space="preserve">a2226486-3bef-4ae3-8c7f-80880ba716de</t>
  </si>
  <si>
    <t xml:space="preserve">2024:04:05 11:50:57-05:00</t>
  </si>
  <si>
    <t xml:space="preserve">11A16D9D-1E70-4E12-910D-F24836774288</t>
  </si>
  <si>
    <t xml:space="preserve">6de4522d-955d-4f89-acef-3c759765c3ec</t>
  </si>
  <si>
    <t xml:space="preserve">11b780b1-2cda-4283-baf2-42cdfb162fdb</t>
  </si>
  <si>
    <t xml:space="preserve">2024:04:09 16:47:01-05:00</t>
  </si>
  <si>
    <t xml:space="preserve">02af8334-0637-484c-b75c-910f53381ff6</t>
  </si>
  <si>
    <t xml:space="preserve">6d73c0e4-54bc-4f99-beb3-868058af3c44</t>
  </si>
  <si>
    <t xml:space="preserve">PRIEST JESUS DORSEY</t>
  </si>
  <si>
    <t xml:space="preserve">2013:08:14 20:45:00Z</t>
  </si>
  <si>
    <t xml:space="preserve">eebe6792-6041-48bf-962c-87c167cd0f4a</t>
  </si>
  <si>
    <t xml:space="preserve">9abad3c8-6ce2-443f-8e5d-b8ee4d95b5aa</t>
  </si>
  <si>
    <t xml:space="preserve">f8dcf5fd-d92f-46da-aa7a-8b25abebea54</t>
  </si>
  <si>
    <t xml:space="preserve">aadbbd12-9382-485c-ae69-9dd30778fa0b</t>
  </si>
  <si>
    <t xml:space="preserve">2022:05:31 16:00:47-05:00</t>
  </si>
  <si>
    <t xml:space="preserve">a69e160d-3650-4491-a2f2-f9a43925385e</t>
  </si>
  <si>
    <t xml:space="preserve">b7dc666f-3a68-432e-865d-2f918da9eb82</t>
  </si>
  <si>
    <t xml:space="preserve">2022-05-31 16:01:20</t>
  </si>
  <si>
    <t xml:space="preserve">[0 - 205487], [215567 - 224509]</t>
  </si>
  <si>
    <t xml:space="preserve">2023:06:05 11:20:10-05:00</t>
  </si>
  <si>
    <t xml:space="preserve">a538d8eb-e0e4-4377-94b4-ab5b844b90e2</t>
  </si>
  <si>
    <t xml:space="preserve">95776abd-4d2f-49bf-a13f-7a566c51f0aa</t>
  </si>
  <si>
    <t xml:space="preserve">2023-06-05 11:20:28</t>
  </si>
  <si>
    <t xml:space="preserve">[0 - 328707], [341911 - 354937]</t>
  </si>
  <si>
    <t xml:space="preserve">2023:06:07 10:23:08-05:00</t>
  </si>
  <si>
    <t xml:space="preserve">9e8896c7-2825-4719-a65a-cb04160d6fcf</t>
  </si>
  <si>
    <t xml:space="preserve">ab1cd058-c486-41ac-8f0b-b55201b7c48e</t>
  </si>
  <si>
    <t xml:space="preserve">AESHA IBRAHIM OSMAN</t>
  </si>
  <si>
    <t xml:space="preserve">2019:02:05 15:44:01-06:00</t>
  </si>
  <si>
    <t xml:space="preserve">bad22d88-5c5a-415f-b483-80ecf4c17a34</t>
  </si>
  <si>
    <t xml:space="preserve">4a4661cb-aadc-4faf-bd80-2280837b0de7</t>
  </si>
  <si>
    <t xml:space="preserve">265848a4-6970-4dfe-82c1-00e70921d27c</t>
  </si>
  <si>
    <t xml:space="preserve">2019:02:22 10:19:14-06:00</t>
  </si>
  <si>
    <t xml:space="preserve">6b6b8812-3b62-4cdf-b14a-6b24f8a60d1f</t>
  </si>
  <si>
    <t xml:space="preserve">dd9e3102-928a-4777-ad1a-02e59526e662</t>
  </si>
  <si>
    <t xml:space="preserve">2019-02-26 13:14:47</t>
  </si>
  <si>
    <t xml:space="preserve">[0 - 122958], [130670 - 141358]</t>
  </si>
  <si>
    <t xml:space="preserve">2019:08:19 12:19:07-03:30</t>
  </si>
  <si>
    <t xml:space="preserve">47fb1dfc-df49-46f0-b380-621a03ae1684</t>
  </si>
  <si>
    <t xml:space="preserve">fd2381f0-465d-4e1b-8949-8ddf7cddb27c</t>
  </si>
  <si>
    <t xml:space="preserve">d7b3e038-fd03-4c27-9772-7a63766c7b32</t>
  </si>
  <si>
    <t xml:space="preserve">15df2b71-ad2a-476d-83ce-b660640aa1d0</t>
  </si>
  <si>
    <t xml:space="preserve">2019:08:27 09:17:04-05:00</t>
  </si>
  <si>
    <t xml:space="preserve">94a30568-e386-4fd7-8133-93e4f6d9f9cf</t>
  </si>
  <si>
    <t xml:space="preserve">5da4a05b-f215-4fed-8b5f-8dc492acc01d</t>
  </si>
  <si>
    <t xml:space="preserve">2019-08-27 12:48:39</t>
  </si>
  <si>
    <t xml:space="preserve">[0 - 60963], [71019 - 144749]</t>
  </si>
  <si>
    <t xml:space="preserve">2019:10:04 14:09:57-03:30</t>
  </si>
  <si>
    <t xml:space="preserve">187f1f79-1c7a-44cb-8a11-6a5cc86d7834</t>
  </si>
  <si>
    <t xml:space="preserve">3eb57499-1ab2-4407-9726-48bc3d3aaa88</t>
  </si>
  <si>
    <t xml:space="preserve">fe2427f0-1c52-4c6f-b4ed-1d600e3c4159</t>
  </si>
  <si>
    <t xml:space="preserve">d77c2316-659b-4063-b12a-e323769aae62</t>
  </si>
  <si>
    <t xml:space="preserve">8a520e0a-87b2-4542-bb7a-987c97bbac10</t>
  </si>
  <si>
    <t xml:space="preserve">fb74a1e0-e639-43bf-87a2-50dfbacc15ff</t>
  </si>
  <si>
    <t xml:space="preserve">8143f4ac-701b-4e59-af19-42c86402f2c0</t>
  </si>
  <si>
    <t xml:space="preserve">87a10325-a975-4f17-807c-25280283496b</t>
  </si>
  <si>
    <t xml:space="preserve">2019:10:08 16:57:40-05:00</t>
  </si>
  <si>
    <t xml:space="preserve">5e70ea27-ba65-46bb-9442-1548b9e0b748</t>
  </si>
  <si>
    <t xml:space="preserve">7320c32a-2b8f-4831-a31f-a326450f8d4d</t>
  </si>
  <si>
    <t xml:space="preserve">2019-10-08 16:57:59</t>
  </si>
  <si>
    <t xml:space="preserve">[0 - 72039], [82095 - 156389]</t>
  </si>
  <si>
    <t xml:space="preserve">2020:06:04 12:55:48-05:00</t>
  </si>
  <si>
    <t xml:space="preserve">1ba87711-13bf-43ad-8840-a6c28664be1f</t>
  </si>
  <si>
    <t xml:space="preserve">d6edcb1c-192a-49a2-a23a-51975cc63a2b</t>
  </si>
  <si>
    <t xml:space="preserve">29651e20-1dee-4750-a00f-434a0543f6e6</t>
  </si>
  <si>
    <t xml:space="preserve">f533ec21-6064-4ee1-b65c-a16b27b9f871</t>
  </si>
  <si>
    <t xml:space="preserve">a2f70b25-ca6b-4d47-8c9d-ff327219500b</t>
  </si>
  <si>
    <t xml:space="preserve">843e1e56-a8f4-4093-9c4d-046f86c0315e</t>
  </si>
  <si>
    <t xml:space="preserve">76c207c5-68d6-4a86-b3ec-9be2a267dff6</t>
  </si>
  <si>
    <t xml:space="preserve">2fee6a4d-afc5-4ea2-a317-44f1999fcdc3</t>
  </si>
  <si>
    <t xml:space="preserve">2dd15b55-7c5d-4929-8193-6fa1e45f95b4</t>
  </si>
  <si>
    <t xml:space="preserve">5ada409b-515a-4cfc-be5d-89a31d594bea</t>
  </si>
  <si>
    <t xml:space="preserve">3e683ad8-0522-4b21-8f41-dea1f68893a5</t>
  </si>
  <si>
    <t xml:space="preserve">50e9bca1-dbab-4dc8-973d-b91550bfca3b</t>
  </si>
  <si>
    <t xml:space="preserve">0115a7aa-d9f5-4d9c-a2b0-d0c56e1e6686</t>
  </si>
  <si>
    <t xml:space="preserve">2020:06:04 12:58:44-05:00</t>
  </si>
  <si>
    <t xml:space="preserve">8332d522-7c93-41ce-99f8-e75935fd325a</t>
  </si>
  <si>
    <t xml:space="preserve">8f1fa7e6-03fd-4759-91b7-e23249812e1a</t>
  </si>
  <si>
    <t xml:space="preserve">132b3149-2118-4c35-a569-a3bdae9466b2</t>
  </si>
  <si>
    <t xml:space="preserve">c0bfaab3-2e49-4584-9963-2fef1d30928a</t>
  </si>
  <si>
    <t xml:space="preserve">71a3dc43-ddd3-4a37-9c7b-cdc8d06a4f6f</t>
  </si>
  <si>
    <t xml:space="preserve">65ce3e02-0940-4a50-bf2e-fbd81471f589</t>
  </si>
  <si>
    <t xml:space="preserve">fa2abe0f-64ad-420b-ab7c-8cd3962c31db</t>
  </si>
  <si>
    <t xml:space="preserve">87368587-02a6-4e85-8039-7f9b04ad6f0a</t>
  </si>
  <si>
    <t xml:space="preserve">2020:09:23 13:55:59-03:30</t>
  </si>
  <si>
    <t xml:space="preserve">c2db1345-c0ec-40ab-8b22-0885883baa67</t>
  </si>
  <si>
    <t xml:space="preserve">d870422a-8916-4f9e-bc35-93bda8933c79</t>
  </si>
  <si>
    <t xml:space="preserve">13891a1e-3181-463c-b011-6f9b21aef53f</t>
  </si>
  <si>
    <t xml:space="preserve">5ffe7b4e-563a-4a0a-8bc2-fb134ad61dbb</t>
  </si>
  <si>
    <t xml:space="preserve">d24bf6c8-8de4-4a37-b546-319013174603</t>
  </si>
  <si>
    <t xml:space="preserve">2020:10:27 11:07:21-03:30</t>
  </si>
  <si>
    <t xml:space="preserve">0fbadc7c-e8f3-46a0-8119-2da1ad647867</t>
  </si>
  <si>
    <t xml:space="preserve">53edce14-eba7-4505-9a78-0d761110e087</t>
  </si>
  <si>
    <t xml:space="preserve">1bf957fb-03c7-4ac5-9111-2f598fceeaf5</t>
  </si>
  <si>
    <t xml:space="preserve">0b3b8735-abe8-4fb8-84c3-dc82a465bb98</t>
  </si>
  <si>
    <t xml:space="preserve">d6e66a87-100c-4f7d-a848-09a223286c5e</t>
  </si>
  <si>
    <t xml:space="preserve">2020:11:13 08:18:33-06:00</t>
  </si>
  <si>
    <t xml:space="preserve">c061a150-a7a1-4237-aa66-2cbb3fca0628</t>
  </si>
  <si>
    <t xml:space="preserve">b6ab3842-8d5e-4535-9e0c-96b1c737ebfa</t>
  </si>
  <si>
    <t xml:space="preserve">b54faae7-dc58-4796-9584-7dd526e7d528</t>
  </si>
  <si>
    <t xml:space="preserve">67c8fc30-b573-461c-9321-76b5d3bf1205</t>
  </si>
  <si>
    <t xml:space="preserve">a82c80b3-11fd-424f-89a6-09d18d7c70c8</t>
  </si>
  <si>
    <t xml:space="preserve">2020:11:17 10:05:55-06:00</t>
  </si>
  <si>
    <t xml:space="preserve">a5b93b94-051d-4263-a6f8-538a1256adf6</t>
  </si>
  <si>
    <t xml:space="preserve">47c01adb-279d-40c2-99ca-7d0031ad23c3</t>
  </si>
  <si>
    <t xml:space="preserve">55c04c35-3178-422d-9731-45314355d3da</t>
  </si>
  <si>
    <t xml:space="preserve">82ba7c7b-7896-41fc-b7b7-6c06da7d5d03</t>
  </si>
  <si>
    <t xml:space="preserve">523f077e-4169-4141-ab95-fbc58425a310</t>
  </si>
  <si>
    <t xml:space="preserve">2021:01:13 10:18:28-06:00</t>
  </si>
  <si>
    <t xml:space="preserve">1dca331d-cc24-49e6-9439-7799a7ed8df9</t>
  </si>
  <si>
    <t xml:space="preserve">6422d98d-121f-4445-b405-9bd1387b947f</t>
  </si>
  <si>
    <t xml:space="preserve">798b7184-7bce-4cbc-a2a6-cd777330c6b8</t>
  </si>
  <si>
    <t xml:space="preserve">ffcba742-d9b9-4932-a1fa-66a71d2bd73d</t>
  </si>
  <si>
    <t xml:space="preserve">35be644f-b444-46ac-9d8e-fedb62f3241c</t>
  </si>
  <si>
    <t xml:space="preserve">2021:04:01 09:19:28-05:00</t>
  </si>
  <si>
    <t xml:space="preserve">d5bafb11-1f7e-472d-a571-54b83b67522a</t>
  </si>
  <si>
    <t xml:space="preserve">9cdacda4-f2b1-4b99-acc9-355b47aba380</t>
  </si>
  <si>
    <t xml:space="preserve">18407f24-63d8-48a2-b690-62753c7fede5</t>
  </si>
  <si>
    <t xml:space="preserve">46773740-3f0e-4919-9a3a-6580291c243f</t>
  </si>
  <si>
    <t xml:space="preserve">7b60a55f-43eb-4648-88dd-abe299703664</t>
  </si>
  <si>
    <t xml:space="preserve">5608caa2-69d9-4dfe-820b-493ecdf5bb0d</t>
  </si>
  <si>
    <t xml:space="preserve">ce9b60ba-3995-4c02-a5a3-a5153086ba52</t>
  </si>
  <si>
    <t xml:space="preserve">0c3b1b0d-5024-4b5c-b1ee-4b916895e32b</t>
  </si>
  <si>
    <t xml:space="preserve">2021:04:29 13:44:41-05:00</t>
  </si>
  <si>
    <t xml:space="preserve">02eab681-a6ef-4385-92d6-a6c531d655b3</t>
  </si>
  <si>
    <t xml:space="preserve">be85804e-14c3-49d9-8bbf-19631f26eedc</t>
  </si>
  <si>
    <t xml:space="preserve">e50b3186-3309-4633-9def-8cb5eb5c17df</t>
  </si>
  <si>
    <t xml:space="preserve">8871d5ba-f5ed-4e8e-a8b0-eacc42ddc157</t>
  </si>
  <si>
    <t xml:space="preserve">f83ea757-ac8e-439f-9717-0e12f8b085c9</t>
  </si>
  <si>
    <t xml:space="preserve">2021:07:14 11:41:25-03:30</t>
  </si>
  <si>
    <t xml:space="preserve">a8f6c17f-7555-4ce8-ade9-e2e7981bdd1a</t>
  </si>
  <si>
    <t xml:space="preserve">2fdc5ccc-7264-4c19-ad9a-016c0413d4cc</t>
  </si>
  <si>
    <t xml:space="preserve">36764766-1562-4391-8e49-a8c9deafa8de</t>
  </si>
  <si>
    <t xml:space="preserve">4b0fce3b-20de-4cd8-a3d2-a60691b67799</t>
  </si>
  <si>
    <t xml:space="preserve">fbd5171d-a068-4400-8ddd-0677205b87b1</t>
  </si>
  <si>
    <t xml:space="preserve">2022:01:10 11:07:02-06:00</t>
  </si>
  <si>
    <t xml:space="preserve">9DFAE881-1B1C-40EF-9E22-61B0C66D2A62</t>
  </si>
  <si>
    <t xml:space="preserve">1a527e7d-bfca-4b8b-a579-06d978c794fe</t>
  </si>
  <si>
    <t xml:space="preserve">2022:01:25 09:03:27-06:00</t>
  </si>
  <si>
    <t xml:space="preserve">900a6ec6-3a09-4c1f-9ac4-bca04da235f8</t>
  </si>
  <si>
    <t xml:space="preserve">89625073-279d-47dd-884f-8b7cdb2099ea</t>
  </si>
  <si>
    <t xml:space="preserve">2022:07:14 09:30:32-05:00</t>
  </si>
  <si>
    <t xml:space="preserve">9D8A7EB3-C726-466F-AC5A-ADB240CE76A4</t>
  </si>
  <si>
    <t xml:space="preserve">18078095-bfb0-43cd-848d-66daf12e8526</t>
  </si>
  <si>
    <t xml:space="preserve">47dfb944-02fe-4e47-9ebf-46d5129ef4c4</t>
  </si>
  <si>
    <t xml:space="preserve">9032c511-91d2-4afc-bc58-5758792377c7</t>
  </si>
  <si>
    <t xml:space="preserve">3a1bc05e-070b-4943-b717-2aec040503de</t>
  </si>
  <si>
    <t xml:space="preserve">2022:07:14 09:31:53-05:00</t>
  </si>
  <si>
    <t xml:space="preserve">52B18F16-72F6-44F6-805C-A20D393B76F6</t>
  </si>
  <si>
    <t xml:space="preserve">106c278f-c0b0-4922-bc5b-9e71e49f61e3</t>
  </si>
  <si>
    <t xml:space="preserve">e99d8791-85c4-4598-8999-4409814ae927</t>
  </si>
  <si>
    <t xml:space="preserve">11834697-735c-49de-a82c-3c8be4f656df</t>
  </si>
  <si>
    <t xml:space="preserve">cb24b5b2-364a-4790-a50a-c56a29295063</t>
  </si>
  <si>
    <t xml:space="preserve">2022:08:29 15:39:32-05:00</t>
  </si>
  <si>
    <t xml:space="preserve">F297D211-0BD5-47DA-BCFF-80B281CB4DA6</t>
  </si>
  <si>
    <t xml:space="preserve">6a301355-4397-4013-aeb6-1c6d164ee68c</t>
  </si>
  <si>
    <t xml:space="preserve">2022:09:15 08:46:46-05:00</t>
  </si>
  <si>
    <t xml:space="preserve">884EA7C4-4E6A-4CAE-ACFB-C0D9F1D57748</t>
  </si>
  <si>
    <t xml:space="preserve">f7380920-6252-4c1a-8147-2a82fdde3a5b</t>
  </si>
  <si>
    <t xml:space="preserve">2022:09:21 14:54:41-05:00</t>
  </si>
  <si>
    <t xml:space="preserve">30E4128E-B9EF-48CC-917E-7E0B43D539EC</t>
  </si>
  <si>
    <t xml:space="preserve">00b7f9d2-ad4e-472e-91aa-4fe546e982d9</t>
  </si>
  <si>
    <t xml:space="preserve">2022:09:22 11:40:50-05:00</t>
  </si>
  <si>
    <t xml:space="preserve">240572be-2da5-45f1-9b64-bb302fad0675</t>
  </si>
  <si>
    <t xml:space="preserve">3bdace62-da98-49f4-90ff-ddd7962c5d77</t>
  </si>
  <si>
    <t xml:space="preserve">2022:09:28 15:34:45-05:00</t>
  </si>
  <si>
    <t xml:space="preserve">A5CF7073-D1EA-4E3E-8986-1D6027992F07</t>
  </si>
  <si>
    <t xml:space="preserve">3917bef6-6073-4f09-979a-5a4dc437c9a6</t>
  </si>
  <si>
    <t xml:space="preserve">a657c323-b615-480d-8437-97ce013b89fb</t>
  </si>
  <si>
    <t xml:space="preserve">82af190b-c00b-453e-8a87-a96079e296c4</t>
  </si>
  <si>
    <t xml:space="preserve">571427d5-63d0-46ba-a94a-62b103ca2e4b</t>
  </si>
  <si>
    <t xml:space="preserve">82d19ab4-7dcc-46e2-9227-d925d409128b</t>
  </si>
  <si>
    <t xml:space="preserve">2023:02:08 08:58:32-06:00</t>
  </si>
  <si>
    <t xml:space="preserve">60FE9C91-51C1-4218-889C-5B5455F947F8</t>
  </si>
  <si>
    <t xml:space="preserve">660a9e68-ce15-47dc-b2e3-bc2b8c674212</t>
  </si>
  <si>
    <t xml:space="preserve">2023:04:04 15:30:53-05:00</t>
  </si>
  <si>
    <t xml:space="preserve">452916C0-DE89-4A19-8E62-512A48326C2C</t>
  </si>
  <si>
    <t xml:space="preserve">a108e60c-878f-44ef-b415-6bde1ee284d1</t>
  </si>
  <si>
    <t xml:space="preserve">2023-04-04 16:09:52</t>
  </si>
  <si>
    <t xml:space="preserve">[0 - 147965], [160051 - 227946]</t>
  </si>
  <si>
    <t xml:space="preserve">2023:04:05 10:58:27-05:00</t>
  </si>
  <si>
    <t xml:space="preserve">F194A769-3203-4ED6-9DDC-B822F6A30042</t>
  </si>
  <si>
    <t xml:space="preserve">0f05d346-43ac-4e64-8e09-340f5a83c3d2</t>
  </si>
  <si>
    <t xml:space="preserve">2023:06:06 15:58:42-05:00</t>
  </si>
  <si>
    <t xml:space="preserve">8E5BE875-9B7E-4DD8-AE1B-BD4097BA3B0A</t>
  </si>
  <si>
    <t xml:space="preserve">b48aeb5d-2ad6-4e93-8c88-21728160afae</t>
  </si>
  <si>
    <t xml:space="preserve">2023-06-06 15:58:58</t>
  </si>
  <si>
    <t xml:space="preserve">[0 - 94580], [106662 - 158391]</t>
  </si>
  <si>
    <t xml:space="preserve">2023-06-06 16:19:22</t>
  </si>
  <si>
    <t xml:space="preserve">[0 - 158789], [165817 - 235990]</t>
  </si>
  <si>
    <t xml:space="preserve">2023:06:12 18:09:00-05:00</t>
  </si>
  <si>
    <t xml:space="preserve">F789CABD-B60C-4DA1-A8CA-208D567752EE</t>
  </si>
  <si>
    <t xml:space="preserve">5020b484-0d83-46f9-b89a-c1364ce74670</t>
  </si>
  <si>
    <t xml:space="preserve">2023:09:27 13:17:02-05:00</t>
  </si>
  <si>
    <t xml:space="preserve">05540479-E7E6-443D-966C-A956417E8598</t>
  </si>
  <si>
    <t xml:space="preserve">c50ec1bb-afe5-49b0-9d8b-78ad5e2f551d</t>
  </si>
  <si>
    <t xml:space="preserve">2023-09-27 13:42:26</t>
  </si>
  <si>
    <t xml:space="preserve">[0 - 121231], [128259 - 207894]</t>
  </si>
  <si>
    <t xml:space="preserve">2024:01:02 09:34:56-06:00</t>
  </si>
  <si>
    <t xml:space="preserve">c564eab2-1e68-42d5-b87e-ec72b4a66179</t>
  </si>
  <si>
    <t xml:space="preserve">9379639a-7dc3-4c9a-a88a-71c5b71c5607</t>
  </si>
  <si>
    <t xml:space="preserve">2024:02:01 14:25:40-06:00</t>
  </si>
  <si>
    <t xml:space="preserve">4576221f-480d-44be-b1ea-737071c2865c</t>
  </si>
  <si>
    <t xml:space="preserve">9dda577e-621e-4a2d-b387-c3e0726352b5</t>
  </si>
  <si>
    <t xml:space="preserve">2024-02-01 14:26:03</t>
  </si>
  <si>
    <t xml:space="preserve">[0 - 68362], [75968 - 116597]</t>
  </si>
  <si>
    <t xml:space="preserve">2024:03:12 15:08:15-05:00</t>
  </si>
  <si>
    <t xml:space="preserve">3cd46185-750c-414d-abe1-7aa4eee53bf5</t>
  </si>
  <si>
    <t xml:space="preserve">c465da82-64e0-4e84-b0be-08836ffdadb3</t>
  </si>
  <si>
    <t xml:space="preserve">2024:03:19 16:06:32-05:00</t>
  </si>
  <si>
    <t xml:space="preserve">1ea5ea53-7000-4acd-96be-182e74484f76</t>
  </si>
  <si>
    <t xml:space="preserve">0516796c-efc7-458c-b435-763425fe805c</t>
  </si>
  <si>
    <t xml:space="preserve">2024-03-19 16:07:32</t>
  </si>
  <si>
    <t xml:space="preserve">[0 - 130260], [142312 - 168743]</t>
  </si>
  <si>
    <t xml:space="preserve">2024-03-19 16:36:10</t>
  </si>
  <si>
    <t xml:space="preserve">[0 - 169140], [176146 - 235344]</t>
  </si>
  <si>
    <t xml:space="preserve">ANGELIC DENISE NUNN</t>
  </si>
  <si>
    <t xml:space="preserve">e11a1631-c307-410a-8dec-af271331f705</t>
  </si>
  <si>
    <t xml:space="preserve">fea47a73-83b8-4ae2-9936-64c87f4b2f72</t>
  </si>
  <si>
    <t xml:space="preserve">2021:04:06 09:47:58-05:00</t>
  </si>
  <si>
    <t xml:space="preserve">2cfc05e2-fe64-411d-8412-2bf13c958cf5</t>
  </si>
  <si>
    <t xml:space="preserve">4c00db5b-579c-4d75-9179-bbe4cb41946f</t>
  </si>
  <si>
    <t xml:space="preserve">Thomas, Laura</t>
  </si>
  <si>
    <t xml:space="preserve">2021-04-06 13:50:31</t>
  </si>
  <si>
    <t xml:space="preserve">[0 - 77731], [87829 - 186666]</t>
  </si>
  <si>
    <t xml:space="preserve">2021:04:06 14:08:03-05:00</t>
  </si>
  <si>
    <t xml:space="preserve">55a75e5d-35f6-40a7-b808-b2704b1782ae</t>
  </si>
  <si>
    <t xml:space="preserve">13e3db94-7de4-4038-91d0-25f8f8228b7b</t>
  </si>
  <si>
    <t xml:space="preserve">2021:07:22 12:54:21-03:30</t>
  </si>
  <si>
    <t xml:space="preserve">xmp.d</t>
  </si>
  <si>
    <t xml:space="preserve">238ecce9-f826-4f16-b89a-a5f8ff18974f</t>
  </si>
  <si>
    <t xml:space="preserve">2021:11:29 08:09:40-06:00</t>
  </si>
  <si>
    <t xml:space="preserve">a975cb97-20f2-4c06-be20-eed23057930c</t>
  </si>
  <si>
    <t xml:space="preserve">3eca6e57-26e1-40c1-83a9-69c7de9fc99d</t>
  </si>
  <si>
    <t xml:space="preserve">2022:02:10 13:59:27-06:00</t>
  </si>
  <si>
    <t xml:space="preserve">C5C3FC67-7966-4DB5-9C3C-F76BE5085220</t>
  </si>
  <si>
    <t xml:space="preserve">7958cb0e-e9ed-442e-98ac-0fbf05f33e6f</t>
  </si>
  <si>
    <t xml:space="preserve">ANGELIC DENISE SCHAEFER</t>
  </si>
  <si>
    <t xml:space="preserve">2022:03:14 15:57:38-05:00</t>
  </si>
  <si>
    <t xml:space="preserve">01075a64-471d-4d33-b2dc-f5e1713aabff</t>
  </si>
  <si>
    <t xml:space="preserve">813c331f-78c2-4a7e-93a6-784dc208098b</t>
  </si>
  <si>
    <t xml:space="preserve">2022:03:23 11:47:38-05:00</t>
  </si>
  <si>
    <t xml:space="preserve">4C2ADD3C-05BA-4E0A-AD91-EA166658AE5A</t>
  </si>
  <si>
    <t xml:space="preserve">0420fd98-897b-4422-beac-06b067cb800c</t>
  </si>
  <si>
    <t xml:space="preserve">2022:04:11 11:00:24-05:00</t>
  </si>
  <si>
    <t xml:space="preserve">07FB3363-0302-4EB5-A93E-FBFE0D72A2AC</t>
  </si>
  <si>
    <t xml:space="preserve">22bdabbb-2923-4806-9b31-0ca234b1c172</t>
  </si>
  <si>
    <t xml:space="preserve">2022:04:28 11:43:35-05:00</t>
  </si>
  <si>
    <t xml:space="preserve">7b762f61-dd8c-4e41-885e-51708896fa2f</t>
  </si>
  <si>
    <t xml:space="preserve">163ce973-d935-49df-ad46-fe841bb6e078</t>
  </si>
  <si>
    <t xml:space="preserve">2022:06:22 15:16:48-05:00</t>
  </si>
  <si>
    <t xml:space="preserve">6D8FC214-4CEA-4F5A-8EF1-B74382ACEC4D</t>
  </si>
  <si>
    <t xml:space="preserve">2823b4e3-3cc0-43a1-987d-c4c1a1a52bbb</t>
  </si>
  <si>
    <t xml:space="preserve">2022:09:06 16:22:06-05:00</t>
  </si>
  <si>
    <t xml:space="preserve">b7dcaaf6-e49a-4e39-bce6-9c1b43e46420</t>
  </si>
  <si>
    <t xml:space="preserve">8b2dca79-3428-401d-a2ee-ed6733bfb614</t>
  </si>
  <si>
    <t xml:space="preserve">2022:09:13 13:11:48-05:00</t>
  </si>
  <si>
    <t xml:space="preserve">1e4f1c3c-406e-4c63-bfa1-f62b4c876498</t>
  </si>
  <si>
    <t xml:space="preserve">ce09e742-7a44-45dd-abfe-32f727ff33b0</t>
  </si>
  <si>
    <t xml:space="preserve">2022:09:23 14:29:23-05:00</t>
  </si>
  <si>
    <t xml:space="preserve">DBBBC04A-0BE7-411C-BC56-8D84B6605444</t>
  </si>
  <si>
    <t xml:space="preserve">ffcb8008-956f-48ca-b0a2-8c7b0df209bb</t>
  </si>
  <si>
    <t xml:space="preserve">63483a1a-dc48-426c-8313-01b052227e10</t>
  </si>
  <si>
    <t xml:space="preserve">2022:10:26 17:30:39-03:30</t>
  </si>
  <si>
    <t xml:space="preserve">1797c849-2c70-416a-b4dc-177afbc3a995</t>
  </si>
  <si>
    <t xml:space="preserve">f431667f-2c5d-4792-87e5-bc7c8583d16c</t>
  </si>
  <si>
    <t xml:space="preserve">2022:10:27 13:03:39-03:30</t>
  </si>
  <si>
    <t xml:space="preserve">a474e2e5-7128-4e58-a075-b00eae109409</t>
  </si>
  <si>
    <t xml:space="preserve">25ae5ffd-c9a8-4b15-a7cb-2da860a681aa</t>
  </si>
  <si>
    <t xml:space="preserve">e09247cf-7af6-433f-9faf-e5b0b6191c28</t>
  </si>
  <si>
    <t xml:space="preserve">1c28628c-ac11-4577-b61d-96c9848d8f01</t>
  </si>
  <si>
    <t xml:space="preserve">16f40ffe-08dc-45c3-9489-67c5f40723ec</t>
  </si>
  <si>
    <t xml:space="preserve">2022:11:02 14:22:45-05:00</t>
  </si>
  <si>
    <t xml:space="preserve">EF4F755D8088BA09CF7081E65FA26B61</t>
  </si>
  <si>
    <t xml:space="preserve">8f3ba6a5-b338-46b3-9fdc-dde52f594efc</t>
  </si>
  <si>
    <t xml:space="preserve">2022:11:17 09:07:14-06:00</t>
  </si>
  <si>
    <t xml:space="preserve">9EB69898-2788-4712-A746-CE51635E8677</t>
  </si>
  <si>
    <t xml:space="preserve">4d035bc0-7d0d-41d1-8cad-e1e7bb090981</t>
  </si>
  <si>
    <t xml:space="preserve">5e7b0a02-ed88-4681-a14d-6877ea268d6b</t>
  </si>
  <si>
    <t xml:space="preserve">2023:03:23 13:50:05-05:00</t>
  </si>
  <si>
    <t xml:space="preserve">e804e00b-229e-447b-88b7-ca22f217e5eb</t>
  </si>
  <si>
    <t xml:space="preserve">fd29e035-200d-434a-86f2-91c718dde9e1</t>
  </si>
  <si>
    <t xml:space="preserve">2023:04:05 17:08:58-05:00</t>
  </si>
  <si>
    <t xml:space="preserve">82b515e5-ee2d-476f-a1fb-153e7b7a795f</t>
  </si>
  <si>
    <t xml:space="preserve">ef2d979c-7290-4528-a8e1-5f2e37af1439</t>
  </si>
  <si>
    <t xml:space="preserve">2023:05:18 13:15:05-05:00</t>
  </si>
  <si>
    <t xml:space="preserve">4f7c2f7d-2997-4e87-897b-249ce31c2d2d</t>
  </si>
  <si>
    <t xml:space="preserve">d42c6f4d-e578-4559-9c66-98136c3a0c2d</t>
  </si>
  <si>
    <t xml:space="preserve">2023:08:25 10:50:55-05:00</t>
  </si>
  <si>
    <t xml:space="preserve">ffd2e79a-f8e3-4fcd-9e47-3bd1d97f362b</t>
  </si>
  <si>
    <t xml:space="preserve">01e73326-edb0-4852-9abb-51e1408bf3e7</t>
  </si>
  <si>
    <t xml:space="preserve">2023:08:25 11:14:19-05:00</t>
  </si>
  <si>
    <t xml:space="preserve">1417250b-6f2e-4a59-b1ae-ad5cc92f1656</t>
  </si>
  <si>
    <t xml:space="preserve">a2da591b-667f-4be6-a392-e23df025b0fb</t>
  </si>
  <si>
    <t xml:space="preserve">2023:08:25 17:16:35-03:30</t>
  </si>
  <si>
    <t xml:space="preserve">3b267e78-e9a9-4402-ac5f-a9ab94d9b47d</t>
  </si>
  <si>
    <t xml:space="preserve">ac24a054-268c-4cc2-a0fe-21c4113e76a2</t>
  </si>
  <si>
    <t xml:space="preserve">0000ff9a-825b-4028-87d0-cc61524545e1</t>
  </si>
  <si>
    <t xml:space="preserve">ff62aab5-8443-456d-b06f-4e6680d2b307</t>
  </si>
  <si>
    <t xml:space="preserve">58b265a2-e2cf-44ec-bb97-42bce78aec44</t>
  </si>
  <si>
    <t xml:space="preserve">2023:10:11 14:33:19-05:00</t>
  </si>
  <si>
    <t xml:space="preserve">14365644-f9d8-4861-b868-3c60265245bf</t>
  </si>
  <si>
    <t xml:space="preserve">caccbd54-4f0b-4027-b54c-aa74c5846f0c</t>
  </si>
  <si>
    <t xml:space="preserve">2023:10:24 15:07:27-05:00</t>
  </si>
  <si>
    <t xml:space="preserve">58cf949f-bc2a-4bdf-b53d-a5d0c222a2bf</t>
  </si>
  <si>
    <t xml:space="preserve">e6ca288c-83f2-4242-b93d-5e164c3ea03b</t>
  </si>
  <si>
    <t xml:space="preserve">3b6c29f1-dda5-4e7f-86ad-1f04a4602ff8</t>
  </si>
  <si>
    <t xml:space="preserve">2023:10:24 17:28:33-05:00</t>
  </si>
  <si>
    <t xml:space="preserve">2eadda79-f21a-4824-beb3-c83f8902752e</t>
  </si>
  <si>
    <t xml:space="preserve">61b3df54-8b39-4cf1-a416-afa0db5b8f48</t>
  </si>
  <si>
    <t xml:space="preserve">2023:10:25 14:27:23-05:00</t>
  </si>
  <si>
    <t xml:space="preserve">91d4fbd5-55fc-4168-a052-aed020b67880</t>
  </si>
  <si>
    <t xml:space="preserve">91c7540e-aa31-4b43-966c-b70d31db34c9</t>
  </si>
  <si>
    <t xml:space="preserve">2023:11:15 08:16:01-06:00</t>
  </si>
  <si>
    <t xml:space="preserve">cd4f9591-6c29-473b-8d81-dfe4b1af2e24</t>
  </si>
  <si>
    <t xml:space="preserve">74edb5a7-59aa-4b5a-9826-1212df09a1b1</t>
  </si>
  <si>
    <t xml:space="preserve">2024:04:11 16:06:52-05:00</t>
  </si>
  <si>
    <t xml:space="preserve">7DE87CE9-FAE0-41EA-BCD0-A96FD7F61269</t>
  </si>
  <si>
    <t xml:space="preserve">c0568a26-4058-4379-ba03-a87d2925053c</t>
  </si>
  <si>
    <t xml:space="preserve">aaa0eaa1-cb07-4aa6-9bc5-c09fb1d9a806</t>
  </si>
  <si>
    <t xml:space="preserve">EYUAEL GONFA KEBEDE</t>
  </si>
  <si>
    <t xml:space="preserve">2021:03:09 11:11:13-06:00</t>
  </si>
  <si>
    <t xml:space="preserve">747aef5e-136b-4c95-a9fa-d26e957d417f</t>
  </si>
  <si>
    <t xml:space="preserve">b468a040-5ca1-4930-9e17-6b2d6d8fe0a3</t>
  </si>
  <si>
    <t xml:space="preserve">5257a32a-c1f4-4814-8d16-8c98223f51e6</t>
  </si>
  <si>
    <t xml:space="preserve">2021:11:01 15:29:47-05:00</t>
  </si>
  <si>
    <t xml:space="preserve">4880d535-89fe-4874-8797-bc2f60c2d707</t>
  </si>
  <si>
    <t xml:space="preserve">f5c7d07b-fd88-4903-a4b0-c313916d0110</t>
  </si>
  <si>
    <t xml:space="preserve">2021:11:02 15:56:16-05:00</t>
  </si>
  <si>
    <t xml:space="preserve">AF13DAF1-183A-4E72-86B0-2E36FF0E13BA</t>
  </si>
  <si>
    <t xml:space="preserve">b4023c12-28fe-442b-b188-548df5011e5d</t>
  </si>
  <si>
    <t xml:space="preserve">2021:12:30 14:27:59-06:00</t>
  </si>
  <si>
    <t xml:space="preserve">5ffa373e-06f4-4f26-8895-07c54cfe305a</t>
  </si>
  <si>
    <t xml:space="preserve">1143bb90-3b56-400e-b393-97948dbc771a</t>
  </si>
  <si>
    <t xml:space="preserve">2022:03:03 11:58:04-06:00</t>
  </si>
  <si>
    <t xml:space="preserve">A53DF851-56A2-480E-A254-35D5CCADC142</t>
  </si>
  <si>
    <t xml:space="preserve">baf1de2a-19df-4425-a03f-678f6e45f049</t>
  </si>
  <si>
    <t xml:space="preserve">2384ae0c-89b5-4695-b729-af77ca23293a</t>
  </si>
  <si>
    <t xml:space="preserve">2022:03:22 16:03:45-05:00</t>
  </si>
  <si>
    <t xml:space="preserve">d1d597c4-1916-46f9-81d9-a7f81ccdc896</t>
  </si>
  <si>
    <t xml:space="preserve">5b10de3c-2643-4387-8cc0-ce1e936e522f</t>
  </si>
  <si>
    <t xml:space="preserve">2022:04:05 08:28:32-05:00</t>
  </si>
  <si>
    <t xml:space="preserve">0608be2b-161c-4eee-9e0b-5043d1ea6ec2</t>
  </si>
  <si>
    <t xml:space="preserve">502206ff-a629-47d2-b0cc-2fea4d5b586a</t>
  </si>
  <si>
    <t xml:space="preserve">1a9a3860-7430-4004-aad9-2c36ac2b0457</t>
  </si>
  <si>
    <t xml:space="preserve">7ce34a4f-9fef-4cf3-b294-110103bf691b</t>
  </si>
  <si>
    <t xml:space="preserve">2022:04:12 15:32:40-05:00</t>
  </si>
  <si>
    <t xml:space="preserve">1a824843-b6d4-46b9-96b2-74691dc69270</t>
  </si>
  <si>
    <t xml:space="preserve">f357efb5-accb-467b-a72d-1d7dc6a06412</t>
  </si>
  <si>
    <t xml:space="preserve">2022:04:12 15:35:36-05:00</t>
  </si>
  <si>
    <t xml:space="preserve">1d4c9cbc-70ed-4171-aeb1-257ddbe7f53e</t>
  </si>
  <si>
    <t xml:space="preserve">4bc5198d-7421-4c8c-a514-07e84f6ccb82</t>
  </si>
  <si>
    <t xml:space="preserve">2022:04:27 09:02:37-05:00</t>
  </si>
  <si>
    <t xml:space="preserve">4ccef59d-e6fc-497a-960d-259b6c4dda0c</t>
  </si>
  <si>
    <t xml:space="preserve">eba4d595-e8ac-4bab-8050-f54e82e0aa6c</t>
  </si>
  <si>
    <t xml:space="preserve">2022:05:02 09:40:16-05:00</t>
  </si>
  <si>
    <t xml:space="preserve">cdb17054-8a28-4388-a117-5131b8b883b9</t>
  </si>
  <si>
    <t xml:space="preserve">a53677fb-becd-4dc1-a74b-792f37a28265</t>
  </si>
  <si>
    <t xml:space="preserve">2022:05:09 14:53:40-05:00</t>
  </si>
  <si>
    <t xml:space="preserve">b83a5e89-e72e-4e15-862e-af62bf0af7d7</t>
  </si>
  <si>
    <t xml:space="preserve">63507cae-c9fb-4054-a5c1-097898acacc8</t>
  </si>
  <si>
    <t xml:space="preserve">2022:05:09 15:06:12-05:00</t>
  </si>
  <si>
    <t xml:space="preserve">411e8532-a82c-46c3-9de1-0507417c48a2</t>
  </si>
  <si>
    <t xml:space="preserve">1c988682-9ca0-4a9b-a6bc-4979e1e3c4c1</t>
  </si>
  <si>
    <t xml:space="preserve">2022:05:09 15:09:56-05:00</t>
  </si>
  <si>
    <t xml:space="preserve">1c1c22df-5f63-43aa-8920-85643b69d5d4</t>
  </si>
  <si>
    <t xml:space="preserve">14857f86-182b-49f9-8094-391c909aacb0</t>
  </si>
  <si>
    <t xml:space="preserve">2022:07:28 10:05:25-05:00</t>
  </si>
  <si>
    <t xml:space="preserve">3FD46C12-2883-4051-BAFD-D45D5C06DA7D</t>
  </si>
  <si>
    <t xml:space="preserve">060c354c-342e-452f-9406-9fb5e9630ce1</t>
  </si>
  <si>
    <t xml:space="preserve">2022-08-02 13:08:25</t>
  </si>
  <si>
    <t xml:space="preserve">[0 - 157870], [165564 - 174469]</t>
  </si>
  <si>
    <t xml:space="preserve">2022:11:23 12:23:48-06:00</t>
  </si>
  <si>
    <t xml:space="preserve">3D2110EF-FFB4-437A-9ED1-4C28E8E4A51C</t>
  </si>
  <si>
    <t xml:space="preserve">9ba68375-223b-4977-a6de-84769b36e33e</t>
  </si>
  <si>
    <t xml:space="preserve">68476c0b-637c-494f-88a4-56ffc9af1de9</t>
  </si>
  <si>
    <t xml:space="preserve">2023:02:15 11:39:23-06:00</t>
  </si>
  <si>
    <t xml:space="preserve">1b6e337b-a7dc-4af1-8b60-ee30cf3d2d8e</t>
  </si>
  <si>
    <t xml:space="preserve">b1ef55ff-a0ca-4ef8-9ffe-53fea98202ed</t>
  </si>
  <si>
    <t xml:space="preserve">2023-02-15 11:40:46</t>
  </si>
  <si>
    <t xml:space="preserve">[0 - 134545], [146597 - 176268]</t>
  </si>
  <si>
    <t xml:space="preserve">2023-02-15 12:00:32</t>
  </si>
  <si>
    <t xml:space="preserve">[0 - 176665], [183693 - 245270]</t>
  </si>
  <si>
    <t xml:space="preserve">2023:09:12 16:00:16-05:00</t>
  </si>
  <si>
    <t xml:space="preserve">B35B30A9-D1C9-48A9-8C40-2365D7DD212A</t>
  </si>
  <si>
    <t xml:space="preserve">b43ab1b4-0bd8-4181-b6b8-41ac8e3d608e</t>
  </si>
  <si>
    <t xml:space="preserve">2023:09:19 12:33:13-05:00</t>
  </si>
  <si>
    <t xml:space="preserve">9FADA5D8-8A0B-4D05-8CB7-264D1F01EFEE</t>
  </si>
  <si>
    <t xml:space="preserve">fc726731-878f-442c-87ef-ea7891ba7936</t>
  </si>
  <si>
    <t xml:space="preserve">JACOB MAMAR JOHNSON</t>
  </si>
  <si>
    <t xml:space="preserve">2022:02:01 10:56:33-06:00</t>
  </si>
  <si>
    <t xml:space="preserve">EE050F66-DB24-47B7-A193-C5F1E6694F8E</t>
  </si>
  <si>
    <t xml:space="preserve">93296343-0830-4943-8c38-a7bf162cf636</t>
  </si>
  <si>
    <t xml:space="preserve">2022-02-01 12:24:52</t>
  </si>
  <si>
    <t xml:space="preserve">[0 - 162311], [172363 - 181893]</t>
  </si>
  <si>
    <t xml:space="preserve">2022:02:01 15:47:57-06:00</t>
  </si>
  <si>
    <t xml:space="preserve">E22B086F-D86C-4C0C-A251-7C899661F14C</t>
  </si>
  <si>
    <t xml:space="preserve">7acdb1b7-ef19-410e-8cac-3d3921259770</t>
  </si>
  <si>
    <t xml:space="preserve">2022:04:12 13:04:49-05:00</t>
  </si>
  <si>
    <t xml:space="preserve">f50a90e7-2845-4f95-b27e-dc211f51d055</t>
  </si>
  <si>
    <t xml:space="preserve">716aba32-d40e-4ce2-a18f-4fdc04c3fc70</t>
  </si>
  <si>
    <t xml:space="preserve">2022:05:11 14:39:09-05:00</t>
  </si>
  <si>
    <t xml:space="preserve">f118f339-0034-42a9-b65e-9d6ccad68042</t>
  </si>
  <si>
    <t xml:space="preserve">e178eb03-03c6-455c-b985-f1c7999f1660</t>
  </si>
  <si>
    <t xml:space="preserve">112220fa-de20-4799-b821-7a6da4c832b4</t>
  </si>
  <si>
    <t xml:space="preserve">2022:09:07 15:07:40-05:00</t>
  </si>
  <si>
    <t xml:space="preserve">9FBFB0E9-BDEB-4975-93A0-492941BB4151</t>
  </si>
  <si>
    <t xml:space="preserve">16f2be42-945f-401c-bc57-2eb65c229a93</t>
  </si>
  <si>
    <t xml:space="preserve">3103727d-a146-43c5-b69e-ae09382c4568</t>
  </si>
  <si>
    <t xml:space="preserve">2022:09:07 15:12:18-05:00</t>
  </si>
  <si>
    <t xml:space="preserve">E9F72DBE-B1A9-44B6-A968-813E13C9F434</t>
  </si>
  <si>
    <t xml:space="preserve">08892d1a-2173-418e-8c11-4820c0c06ce6</t>
  </si>
  <si>
    <t xml:space="preserve">2ddcaddf-6f85-4248-9f46-4fa84dd401f3</t>
  </si>
  <si>
    <t xml:space="preserve">2022:09:14 13:41:54-05:00</t>
  </si>
  <si>
    <t xml:space="preserve">F48E80AF-6C91-4044-A60A-A5D32FB0B287</t>
  </si>
  <si>
    <t xml:space="preserve">4b951464-7e7d-44cc-bae9-75aa90de760c</t>
  </si>
  <si>
    <t xml:space="preserve">19364da8-ad38-4911-b675-054a56cc919b</t>
  </si>
  <si>
    <t xml:space="preserve">2022:09:14 13:43:06-05:00</t>
  </si>
  <si>
    <t xml:space="preserve">11097893-F305-4493-9E89-C3089BB8DD79</t>
  </si>
  <si>
    <t xml:space="preserve">1efd67e3-f2f7-43fd-9766-6bd0a0d8b51e</t>
  </si>
  <si>
    <t xml:space="preserve">31f6e664-b926-498c-ba4c-042f6fea92de</t>
  </si>
  <si>
    <t xml:space="preserve">ABDIQANI AHMED HASSAN</t>
  </si>
  <si>
    <t xml:space="preserve">2022:11:30 16:28:09-06:00</t>
  </si>
  <si>
    <t xml:space="preserve">3397D88B-C4C2-48A2-AC02-FEE20F588059</t>
  </si>
  <si>
    <t xml:space="preserve">8d6c920e-cbda-4a0f-b5e3-bac57e66bdac</t>
  </si>
  <si>
    <t xml:space="preserve">2023:06:21 14:17:44-05:00</t>
  </si>
  <si>
    <t xml:space="preserve">56f32f10-5a04-4de0-a1b4-0930e6324868</t>
  </si>
  <si>
    <t xml:space="preserve">b3b88344-9fee-4e22-9e2d-9c443bb46526</t>
  </si>
  <si>
    <t xml:space="preserve">ce74112f-9075-4be2-b4e3-e3c4cd3108ac</t>
  </si>
  <si>
    <t xml:space="preserve">119c1030-8fa8-4280-b8bd-a9d3cd26ded7</t>
  </si>
  <si>
    <t xml:space="preserve">2023:07:17 13:12:54-05:00</t>
  </si>
  <si>
    <t xml:space="preserve">B19020BA-1B2E-4EF1-ABE6-50A5E7C6F1A0</t>
  </si>
  <si>
    <t xml:space="preserve">a10417a2-dd93-4c48-8a53-bab8c647e8a0</t>
  </si>
  <si>
    <t xml:space="preserve">2023-07-17 16:29:16</t>
  </si>
  <si>
    <t xml:space="preserve">[0 - 107397], [119483 - 198051]</t>
  </si>
  <si>
    <t xml:space="preserve">a839f90a-6817-475e-83fe-1fb6d2f3a735</t>
  </si>
  <si>
    <t xml:space="preserve">1ea0b4d5-c746-4ecc-9b10-b810301713b7</t>
  </si>
  <si>
    <t xml:space="preserve">2023:09:18 11:34:53-05:00</t>
  </si>
  <si>
    <t xml:space="preserve">C770E17D-4596-4D03-A662-C0813ED0FFD7</t>
  </si>
  <si>
    <t xml:space="preserve">849dd460-14b8-48e5-ad6a-73deb1a45651</t>
  </si>
  <si>
    <t xml:space="preserve">2023-09-18 11:48:34</t>
  </si>
  <si>
    <t xml:space="preserve">[0 - 124359], [131365 - 204012]</t>
  </si>
  <si>
    <t xml:space="preserve">2023:12:05 15:28:13-06:00</t>
  </si>
  <si>
    <t xml:space="preserve">C11A95C9-7769-453C-AB62-06634C2737BF</t>
  </si>
  <si>
    <t xml:space="preserve">0d7f2dfb-e336-490b-99fc-63beab756c55</t>
  </si>
  <si>
    <t xml:space="preserve">2023:12:05 15:32:26-06:00</t>
  </si>
  <si>
    <t xml:space="preserve">B8B2BFEE-F211-41AA-97DC-CDCF58AF8A01</t>
  </si>
  <si>
    <t xml:space="preserve">1518df36-5a36-4c3a-b520-c4de53fd80b3</t>
  </si>
  <si>
    <t xml:space="preserve">2023-12-05 17:05:46</t>
  </si>
  <si>
    <t xml:space="preserve">[0 - 146405], [158457 - 186601]</t>
  </si>
  <si>
    <t xml:space="preserve">2023-12-06 10:22:43</t>
  </si>
  <si>
    <t xml:space="preserve">[0 - 186998], [194026 - 247773]</t>
  </si>
  <si>
    <t xml:space="preserve">2023:12:28 11:09:18-06:00</t>
  </si>
  <si>
    <t xml:space="preserve">4DB7F123-F36A-4778-965A-01934F93AAB6</t>
  </si>
  <si>
    <t xml:space="preserve">e13aca25-dab9-47b7-939c-4ae7c4a93a57</t>
  </si>
  <si>
    <t xml:space="preserve">Chou, Marta</t>
  </si>
  <si>
    <t xml:space="preserve">2023-12-28 11:23:34</t>
  </si>
  <si>
    <t xml:space="preserve">[0 - 191859], [199417 - 210531]</t>
  </si>
  <si>
    <t xml:space="preserve">2024:01:08 16:00:29-06:00</t>
  </si>
  <si>
    <t xml:space="preserve">93b79ace-3da0-43e5-bfc5-e638e451deb5</t>
  </si>
  <si>
    <t xml:space="preserve">c2b614ec-4e6e-4426-8827-fbc675c7d461</t>
  </si>
  <si>
    <t xml:space="preserve">2024:01:22 14:52:38-06:00</t>
  </si>
  <si>
    <t xml:space="preserve">743ca531-7da5-4a77-89ae-47bb8999bf91</t>
  </si>
  <si>
    <t xml:space="preserve">32c4b12c-9f91-4c36-bfbd-38cff63dd13d</t>
  </si>
  <si>
    <t xml:space="preserve">MARVAL BARNES</t>
  </si>
  <si>
    <t xml:space="preserve">2021:08:30 11:09:53-05:00</t>
  </si>
  <si>
    <t xml:space="preserve">0FA846F9-9BE1-4F28-B910-CB8CAECE59F3</t>
  </si>
  <si>
    <t xml:space="preserve">c3bbbc10-9759-45cd-a2db-ad254cd5ac92</t>
  </si>
  <si>
    <t xml:space="preserve">7abb4d15-c5f9-4b1b-88ef-9072058b46e3</t>
  </si>
  <si>
    <t xml:space="preserve">Case_Id</t>
  </si>
  <si>
    <t xml:space="preserve">Cms_Efile_date</t>
  </si>
  <si>
    <t xml:space="preserve">Created_n_days_AFTER_Efile</t>
  </si>
  <si>
    <t xml:space="preserve">MATTHEW DAVID GUERTIN</t>
  </si>
  <si>
    <t xml:space="preserve">2023:01:26 10:30:38-06:00</t>
  </si>
  <si>
    <t xml:space="preserve">2023:01:26 10:30:54-06:00</t>
  </si>
  <si>
    <t xml:space="preserve">2024:01:22 11:53:26-06:00</t>
  </si>
  <si>
    <t xml:space="preserve">2024:01:22 11:53:51-06:00</t>
  </si>
  <si>
    <t xml:space="preserve">2024:01:22 11:54:17-06:00</t>
  </si>
  <si>
    <t xml:space="preserve">2024:01:22 11:54:40-06:00</t>
  </si>
  <si>
    <t xml:space="preserve">2024:01:22 11:55:02-06:00</t>
  </si>
  <si>
    <t xml:space="preserve">2024:01:22 11:55:25-06:00</t>
  </si>
  <si>
    <t xml:space="preserve">2024:01:22 11:55:49-06:00</t>
  </si>
  <si>
    <t xml:space="preserve">2022:04:07 11:48:17-05:00</t>
  </si>
  <si>
    <t xml:space="preserve">2022:04:07 11:47:52-05:00</t>
  </si>
  <si>
    <t xml:space="preserve">2022:04:07 11:47:29-05:00</t>
  </si>
  <si>
    <t xml:space="preserve">2022:04:07 11:47:12-05:00</t>
  </si>
  <si>
    <t xml:space="preserve">2022:04:07 11:46:37-05:00</t>
  </si>
  <si>
    <t xml:space="preserve">2022:04:07 11:46:14-05:00</t>
  </si>
  <si>
    <t xml:space="preserve">2022:09:26 17:14:13-05:00</t>
  </si>
  <si>
    <t xml:space="preserve">2022:04:06 14:51:35-05:00</t>
  </si>
  <si>
    <t xml:space="preserve">2023:01:18 09:35:48-06:00</t>
  </si>
  <si>
    <t xml:space="preserve">2023:01:18 09:35:31-06:00</t>
  </si>
  <si>
    <t xml:space="preserve">2023:01:18 09:35:53-06:00</t>
  </si>
  <si>
    <t xml:space="preserve">2023:01:18 09:36:09-06:00</t>
  </si>
  <si>
    <t xml:space="preserve">2023:01:18 09:36:51-06:00</t>
  </si>
  <si>
    <t xml:space="preserve">2023:01:18 09:37:04-06:00</t>
  </si>
  <si>
    <t xml:space="preserve">2023:01:18 09:37:22-06:00</t>
  </si>
  <si>
    <t xml:space="preserve">2021:05:12 09:00:58-05:00</t>
  </si>
  <si>
    <t xml:space="preserve">2022:10:05 16:17:43-05:00</t>
  </si>
  <si>
    <t xml:space="preserve">2022:12:22 15:19:04-06:00</t>
  </si>
  <si>
    <t xml:space="preserve">2021:07:29 07:14:01-05:00</t>
  </si>
  <si>
    <t xml:space="preserve">2021:07:29 07:03:22-05:00</t>
  </si>
  <si>
    <t xml:space="preserve">2021:07:29 07:03:23-05:00</t>
  </si>
  <si>
    <t xml:space="preserve">2021:07:29 07:14:05-05:00</t>
  </si>
  <si>
    <t xml:space="preserve">2021:07:29 07:14:21-05:00</t>
  </si>
  <si>
    <t xml:space="preserve">2021:07:29 07:15:51-05:00</t>
  </si>
  <si>
    <t xml:space="preserve">2021:07:29 07:15:44-05:00</t>
  </si>
  <si>
    <t xml:space="preserve">2021:07:29 06:36:02-05:00</t>
  </si>
  <si>
    <t xml:space="preserve">2021:07:29 07:17:22-05:00</t>
  </si>
  <si>
    <t xml:space="preserve">2021:07:29 07:17:39-05:00</t>
  </si>
  <si>
    <t xml:space="preserve">2021:12:09 15:43:08-06:00</t>
  </si>
  <si>
    <t xml:space="preserve">2021:12:09 15:36:20-06:00</t>
  </si>
  <si>
    <t xml:space="preserve">2021:12:09 15:34:44-06:00</t>
  </si>
  <si>
    <t xml:space="preserve">2021:12:09 15:33:10-06:00</t>
  </si>
  <si>
    <t xml:space="preserve">2021:12:09 15:31:41-06:00</t>
  </si>
  <si>
    <t xml:space="preserve">2021:12:09 15:24:40-06:00</t>
  </si>
  <si>
    <t xml:space="preserve">2021:12:09 15:43:46-06:00</t>
  </si>
  <si>
    <t xml:space="preserve">2022:12:28 13:32:38-06:00</t>
  </si>
  <si>
    <t xml:space="preserve">2021:10:27 13:10:12-05:00</t>
  </si>
  <si>
    <t xml:space="preserve">2023:01:30 09:09:44-06:00</t>
  </si>
  <si>
    <t xml:space="preserve">2023:06:21 14:17:45-05:00</t>
  </si>
  <si>
    <t xml:space="preserve">2022:12:13 09:21:25-06:00</t>
  </si>
  <si>
    <t xml:space="preserve">2023:01:06 11:15:03-06:00</t>
  </si>
  <si>
    <t xml:space="preserve">2023:03:16 11:46:37-05:00</t>
  </si>
  <si>
    <t xml:space="preserve">2023:03:28 14:11:22-05:00</t>
  </si>
  <si>
    <t xml:space="preserve">2021:05:03 11:51:15-05:00</t>
  </si>
  <si>
    <t xml:space="preserve">2021:05:03 09:33:42-05:00</t>
  </si>
  <si>
    <t xml:space="preserve">2021:04:30 14:54:50-05:00</t>
  </si>
  <si>
    <t xml:space="preserve">2020:06:23 08:40:22-05:00</t>
  </si>
  <si>
    <t xml:space="preserve">2024:01:22 10:59:58-06:00</t>
  </si>
  <si>
    <t xml:space="preserve">2024:01:22 11:00:30-06:00</t>
  </si>
  <si>
    <t xml:space="preserve">2024:01:22 11:01:06-06:00</t>
  </si>
  <si>
    <t xml:space="preserve">2024:01:22 11:01:28-06:00</t>
  </si>
  <si>
    <t xml:space="preserve">2024:01:22 11:01:58-06:00</t>
  </si>
  <si>
    <t xml:space="preserve">2024:01:22 11:02:44-06:00</t>
  </si>
  <si>
    <t xml:space="preserve">2019:09:25 08:24:39-05:00</t>
  </si>
  <si>
    <t xml:space="preserve">2019:09:25 08:23:56-05:00</t>
  </si>
  <si>
    <t xml:space="preserve">2020:06:04 16:27:39-05:00</t>
  </si>
  <si>
    <t xml:space="preserve">2021:04:05 13:56:08-05:00</t>
  </si>
  <si>
    <t xml:space="preserve">2022:04:07 11:11:57-05:00</t>
  </si>
  <si>
    <t xml:space="preserve">2022:04:07 11:11:31-05:00</t>
  </si>
  <si>
    <t xml:space="preserve">2022:04:07 11:11:08-05:00</t>
  </si>
  <si>
    <t xml:space="preserve">2022:04:07 11:10:07-05:00</t>
  </si>
  <si>
    <t xml:space="preserve">2022:04:07 11:09:43-05:00</t>
  </si>
  <si>
    <t xml:space="preserve">2022:04:07 11:09:24-05:00</t>
  </si>
  <si>
    <t xml:space="preserve">2023:01:18 08:34:13-06:00</t>
  </si>
  <si>
    <t xml:space="preserve">2023:01:18 08:34:58-06:00</t>
  </si>
  <si>
    <t xml:space="preserve">2023:01:18 08:35:18-06:00</t>
  </si>
  <si>
    <t xml:space="preserve">2023:01:18 08:36:01-06:00</t>
  </si>
  <si>
    <t xml:space="preserve">2023:01:18 08:36:21-06:00</t>
  </si>
  <si>
    <t xml:space="preserve">2023:01:18 08:37:08-06:00</t>
  </si>
  <si>
    <t xml:space="preserve">2020:01:07 11:58:16-06:00</t>
  </si>
  <si>
    <t xml:space="preserve">2020:04:21 15:17:48-05:00</t>
  </si>
  <si>
    <t xml:space="preserve">2020:09:10 12:56:00-05:00</t>
  </si>
  <si>
    <t xml:space="preserve">2023:06:14 16:23:22-05:00</t>
  </si>
  <si>
    <t xml:space="preserve">2021:04:09 15:54:55-05:00</t>
  </si>
  <si>
    <t xml:space="preserve">2021:01:06 10:54:17-06:00</t>
  </si>
  <si>
    <t xml:space="preserve">2023:04:04 11:00:15-05:00</t>
  </si>
  <si>
    <t xml:space="preserve">2022:11:08 10:10:54-06:00</t>
  </si>
  <si>
    <t xml:space="preserve">2022:05:05 14:33:23-05:00</t>
  </si>
  <si>
    <t xml:space="preserve">2022:05:05 14:32:39-05:00</t>
  </si>
  <si>
    <t xml:space="preserve">2022:05:05 14:32:04-05:00</t>
  </si>
  <si>
    <t xml:space="preserve">2022:05:05 14:31:29-05:00</t>
  </si>
  <si>
    <t xml:space="preserve">2022:05:05 14:29:28-05:00</t>
  </si>
  <si>
    <t xml:space="preserve">2019:10:01 09:57:33-05:00</t>
  </si>
  <si>
    <t xml:space="preserve">2019:10:01 09:58:35-05:00</t>
  </si>
  <si>
    <t xml:space="preserve">2022:12:20 14:28:21-06:00</t>
  </si>
  <si>
    <t xml:space="preserve">2022:12:20 14:29:24-06:00</t>
  </si>
  <si>
    <t xml:space="preserve">2022:12:20 14:30:03-06:00</t>
  </si>
  <si>
    <t xml:space="preserve">2022:12:20 14:30:41-06:00</t>
  </si>
  <si>
    <t xml:space="preserve">2022:12:20 14:31:06-06:00</t>
  </si>
  <si>
    <t xml:space="preserve">2021:03:11 10:50:50-06:00</t>
  </si>
  <si>
    <t xml:space="preserve">2019:05:31 11:18:42-05:00</t>
  </si>
  <si>
    <t xml:space="preserve">2020:03:27 16:24:39-05:00</t>
  </si>
  <si>
    <t xml:space="preserve">2020:03:27 16:18:22-05:00</t>
  </si>
  <si>
    <t xml:space="preserve">2021:09:10 15:29:21-05:00</t>
  </si>
  <si>
    <t xml:space="preserve">2023:04:19 09:37:21-05:00</t>
  </si>
  <si>
    <t xml:space="preserve">2019:05:21 08:19:26-05:00</t>
  </si>
  <si>
    <t xml:space="preserve">2020:12:02 14:50:17-06:00</t>
  </si>
  <si>
    <t xml:space="preserve">2021:02:17 13:35:31-06:00</t>
  </si>
  <si>
    <t xml:space="preserve">2021:02:17 13:34:45-06:00</t>
  </si>
  <si>
    <t xml:space="preserve">2021:02:17 13:33:44-06:00</t>
  </si>
  <si>
    <t xml:space="preserve">2021:02:17 13:32:24-06:00</t>
  </si>
  <si>
    <t xml:space="preserve">2021:04:26 11:43:35-05:00</t>
  </si>
  <si>
    <t xml:space="preserve">2021:08:26 13:25:13-05:00</t>
  </si>
  <si>
    <t xml:space="preserve">2021:08:26 13:24:40-05:00</t>
  </si>
  <si>
    <t xml:space="preserve">2021:08:26 13:20:33-05:00</t>
  </si>
  <si>
    <t xml:space="preserve">2021:08:26 13:24:04-05:00</t>
  </si>
  <si>
    <t xml:space="preserve">2021:08:26 13:23:28-05:00</t>
  </si>
  <si>
    <t xml:space="preserve">2021:08:26 13:22:29-05:00</t>
  </si>
  <si>
    <t xml:space="preserve">2023:01:13 11:02:15-06:00</t>
  </si>
  <si>
    <t xml:space="preserve">2023:01:13 11:09:03-06:00</t>
  </si>
  <si>
    <t xml:space="preserve">2023:04:07 11:10:15-05:00</t>
  </si>
  <si>
    <t xml:space="preserve">2023:04:07 11:08:29-05:00</t>
  </si>
  <si>
    <t xml:space="preserve">2023:04:07 11:03:30-05:00</t>
  </si>
  <si>
    <t xml:space="preserve">2023:04:07 11:06:05-05:00</t>
  </si>
  <si>
    <t xml:space="preserve">2023:04:07 11:16:33-05:00</t>
  </si>
  <si>
    <t xml:space="preserve">2023:04:07 11:13:47-05:00</t>
  </si>
  <si>
    <t xml:space="preserve">2023:04:07 11:01:53-05:00</t>
  </si>
  <si>
    <t xml:space="preserve">2023:06:07 10:22:39-05:00</t>
  </si>
  <si>
    <t xml:space="preserve">2020:03:11 15:34:30-05:00</t>
  </si>
  <si>
    <t xml:space="preserve">2021:04:20 09:16:25-05:00</t>
  </si>
  <si>
    <t xml:space="preserve">2021:10:12 12:33:52-05:00</t>
  </si>
  <si>
    <t xml:space="preserve">2024:04:30 14:28:14+00:00</t>
  </si>
  <si>
    <t xml:space="preserve">2020:03:03 11:53:25-06:00</t>
  </si>
  <si>
    <t xml:space="preserve">2020:03:03 11:51:42-06:00</t>
  </si>
  <si>
    <t xml:space="preserve">2020:03:03 11:55:48-06:00</t>
  </si>
  <si>
    <t xml:space="preserve">2020:03:03 11:51:51-06:00</t>
  </si>
  <si>
    <t xml:space="preserve">2020:03:10 09:34:00-05:00</t>
  </si>
  <si>
    <t xml:space="preserve">2020:03:10 09:33:04-05:00</t>
  </si>
  <si>
    <t xml:space="preserve">2019:02:01 08:33:23-06:00</t>
  </si>
  <si>
    <t xml:space="preserve">2018:09:21 11:43:32-05:00</t>
  </si>
  <si>
    <t xml:space="preserve">2022:09:22 11:40:16-05:00</t>
  </si>
  <si>
    <t xml:space="preserve">2018:09:13 10:29:14-05:00</t>
  </si>
  <si>
    <t xml:space="preserve">2021:12:14 10:54:43-06:00</t>
  </si>
  <si>
    <t xml:space="preserve">2022:04:21 10:39:56-05:00</t>
  </si>
  <si>
    <t xml:space="preserve">2022:04:21 10:09:15-05:00</t>
  </si>
  <si>
    <t xml:space="preserve">2022:04:18 10:49:43-05:00</t>
  </si>
  <si>
    <t xml:space="preserve">2022:04:18 10:49:10-05:00</t>
  </si>
  <si>
    <t xml:space="preserve">2020:08:26 10:39:25-05:00</t>
  </si>
  <si>
    <t xml:space="preserve">2022:08:18 09:44:51-05:00</t>
  </si>
  <si>
    <t xml:space="preserve">2022:08:18 09:37:24-05:00</t>
  </si>
  <si>
    <t xml:space="preserve">2022:08:18 09:39:14-05:00</t>
  </si>
  <si>
    <t xml:space="preserve">2020:02:25 10:44:59-06:00</t>
  </si>
  <si>
    <t xml:space="preserve">2021:04:02 16:11:42-05:00</t>
  </si>
  <si>
    <t xml:space="preserve">2021:11:29 08:10:08-06:00</t>
  </si>
  <si>
    <t xml:space="preserve">2020:03:09 08:27:10-05:00</t>
  </si>
  <si>
    <t xml:space="preserve">2022:02:01 11:52:55-06:00</t>
  </si>
  <si>
    <t xml:space="preserve">2022:02:01 13:01:34-06:00</t>
  </si>
  <si>
    <t xml:space="preserve">2022:02:01 13:00:54-06:00</t>
  </si>
  <si>
    <t xml:space="preserve">2022:09:13 13:11:30-05:00</t>
  </si>
  <si>
    <t xml:space="preserve">2020:03:19 07:42:46-05:00</t>
  </si>
  <si>
    <t xml:space="preserve">2020:06:18 09:18:23-05:00</t>
  </si>
  <si>
    <t xml:space="preserve">2020:11:17 13:01:16-06:00</t>
  </si>
  <si>
    <t xml:space="preserve">2021:03:26 09:35:19-05:00</t>
  </si>
  <si>
    <t xml:space="preserve">2021:03:26 09:30:28-05:00</t>
  </si>
  <si>
    <t xml:space="preserve">2021:03:31 09:42:20-05:00</t>
  </si>
  <si>
    <t xml:space="preserve">2021:06:22 11:30:43-05:00</t>
  </si>
  <si>
    <t xml:space="preserve">2021:06:22 11:25:08-05:00</t>
  </si>
  <si>
    <t xml:space="preserve">2021:06:22 11:27:23-05:00</t>
  </si>
  <si>
    <t xml:space="preserve">2021:07:22 14:30:26-05:00</t>
  </si>
  <si>
    <t xml:space="preserve">2022:04:28 11:44:13-05:00</t>
  </si>
  <si>
    <t xml:space="preserve">2022:08:05 13:42:36-05:00</t>
  </si>
  <si>
    <t xml:space="preserve">2023:05:10 14:23:40-05:00</t>
  </si>
  <si>
    <t xml:space="preserve">2023:11:15 08:15:23-06:00</t>
  </si>
  <si>
    <t xml:space="preserve">2023:11:15 08:15:28-06:00</t>
  </si>
  <si>
    <t xml:space="preserve">2023:12:12 13:11:18-06:00</t>
  </si>
  <si>
    <t xml:space="preserve">2023:12:12 13:14:25-06:00</t>
  </si>
  <si>
    <t xml:space="preserve">2023:12:12 13:12:37-06:00</t>
  </si>
  <si>
    <t xml:space="preserve">2023:12:12 14:03:14-06:00</t>
  </si>
  <si>
    <t xml:space="preserve">2023:12:12 14:06:03-06:00</t>
  </si>
  <si>
    <t xml:space="preserve">2023:12:12 13:49:10-06:00</t>
  </si>
  <si>
    <t xml:space="preserve">2018:01:10 13:43:14-06:00</t>
  </si>
  <si>
    <t xml:space="preserve">2018:01:10 13:44:11-06:00</t>
  </si>
  <si>
    <t xml:space="preserve">2017:08:25 16:07:30-05:00</t>
  </si>
  <si>
    <t xml:space="preserve">2017:08:25 16:08:00-05:00</t>
  </si>
  <si>
    <t xml:space="preserve">2021:10:26 15:16:59-05:00</t>
  </si>
  <si>
    <t xml:space="preserve">2020:04:01 08:57:22-05:00</t>
  </si>
  <si>
    <t xml:space="preserve">2020:05:12 09:03:27-05:00</t>
  </si>
  <si>
    <t xml:space="preserve">2020:12:17 14:06:52-06:00</t>
  </si>
  <si>
    <t xml:space="preserve">2024:02:08 08:44:39-06:00</t>
  </si>
  <si>
    <t xml:space="preserve">2023:09:26 10:27:12-05:00</t>
  </si>
  <si>
    <t xml:space="preserve">2023:09:26 10:32:27-05:00</t>
  </si>
  <si>
    <t xml:space="preserve">2021:11:09 12:16:09-06:00</t>
  </si>
  <si>
    <t xml:space="preserve">2021:11:24 09:18:24-06:00</t>
  </si>
  <si>
    <t xml:space="preserve">2021:12:08 15:59:56-06:00</t>
  </si>
  <si>
    <t xml:space="preserve">2021:07:15 07:59:23-05:00</t>
  </si>
  <si>
    <t xml:space="preserve">2021:07:15 07:57:17-05:00</t>
  </si>
  <si>
    <t xml:space="preserve">2019:06:03 16:22:13-05:00</t>
  </si>
  <si>
    <t xml:space="preserve">2021:09:13 08:23:09-05:00</t>
  </si>
  <si>
    <t xml:space="preserve">2019:04:22 14:24:01-05:00</t>
  </si>
  <si>
    <t xml:space="preserve">2019:04:22 14:23:19-05:00</t>
  </si>
  <si>
    <t xml:space="preserve">2019:04:22 14:25:14-05:00</t>
  </si>
  <si>
    <t xml:space="preserve">2019:04:18 16:09:06-05:00</t>
  </si>
  <si>
    <t xml:space="preserve">2021:10:27 15:57:45-05:00</t>
  </si>
  <si>
    <t xml:space="preserve">2021:10:27 16:00:18-05:00</t>
  </si>
  <si>
    <t xml:space="preserve">2022:05:04 10:45:42-05:00</t>
  </si>
  <si>
    <t xml:space="preserve">2022:05:04 10:55:25-05:00</t>
  </si>
  <si>
    <t xml:space="preserve">2019:01:11 12:01:01-06:00</t>
  </si>
  <si>
    <t xml:space="preserve">2019:03:05 08:50:55-06:00</t>
  </si>
  <si>
    <t xml:space="preserve">2019:03:05 08:49:10-06:00</t>
  </si>
  <si>
    <t xml:space="preserve">2019:03:05 08:45:45-06:00</t>
  </si>
  <si>
    <t xml:space="preserve">2021:02:23 12:33:49-06:00</t>
  </si>
  <si>
    <t xml:space="preserve">2021:02:23 12:34:53-06:00</t>
  </si>
  <si>
    <t xml:space="preserve">2022:05:06 08:05:23-05:00</t>
  </si>
  <si>
    <t xml:space="preserve">2023:10:05 10:38:21-05:00</t>
  </si>
  <si>
    <t xml:space="preserve">2021:05:03 09:38:57-05:00</t>
  </si>
  <si>
    <t xml:space="preserve">2020:02:19 09:01:45-06:00</t>
  </si>
  <si>
    <t xml:space="preserve">2021:04:15 11:41:53-05:00</t>
  </si>
  <si>
    <t xml:space="preserve">2020:01:09 10:19:55-06:00</t>
  </si>
  <si>
    <t xml:space="preserve">2022:04:07 11:16:05-05:00</t>
  </si>
  <si>
    <t xml:space="preserve">2022:04:07 11:15:43-05:00</t>
  </si>
  <si>
    <t xml:space="preserve">2023:01:19 11:56:06-06:00</t>
  </si>
  <si>
    <t xml:space="preserve">2023:01:19 11:56:49-06:00</t>
  </si>
  <si>
    <t xml:space="preserve">2022:12:23 14:50:05-06:00</t>
  </si>
  <si>
    <t xml:space="preserve">2022:12:23 14:50:57-06:00</t>
  </si>
  <si>
    <t xml:space="preserve">2022:05:17 11:28:48-05:00</t>
  </si>
  <si>
    <t xml:space="preserve">2023:10:04 10:38:55-05:00</t>
  </si>
  <si>
    <t xml:space="preserve">TEMEKA MICHELLE NICHOLS</t>
  </si>
  <si>
    <t xml:space="preserve">2021:12:18 14:51:24-06:00</t>
  </si>
  <si>
    <t xml:space="preserve">2021:04:23 12:49:04-05:00</t>
  </si>
  <si>
    <t xml:space="preserve">2022:06:09 15:20:40-05:00</t>
  </si>
  <si>
    <t xml:space="preserve">2021:06:09 10:55:47-05:00</t>
  </si>
  <si>
    <t xml:space="preserve">2022:04:20 08:55:58-05:00</t>
  </si>
  <si>
    <t xml:space="preserve">2022:08:09 09:33:40-05:00</t>
  </si>
  <si>
    <t xml:space="preserve">2022:08:09 09:48:45-05:00</t>
  </si>
  <si>
    <t xml:space="preserve">2024:03:13 15:43:26-05:00</t>
  </si>
  <si>
    <t xml:space="preserve">Filing_type</t>
  </si>
  <si>
    <t xml:space="preserve">Sign_time</t>
  </si>
  <si>
    <t xml:space="preserve">Signed_n_days_AFTER_Efile</t>
  </si>
  <si>
    <t xml:space="preserve">Signer_name</t>
  </si>
  <si>
    <t xml:space="preserve">Field_name</t>
  </si>
  <si>
    <t xml:space="preserve">Rev_count</t>
  </si>
  <si>
    <t xml:space="preserve">Field_index</t>
  </si>
  <si>
    <t xml:space="preserve">V_obj</t>
  </si>
  <si>
    <t xml:space="preserve">Signed_bytes</t>
  </si>
  <si>
    <t xml:space="preserve">Cover %</t>
  </si>
  <si>
    <t xml:space="preserve">Edits_after_sig</t>
  </si>
  <si>
    <t xml:space="preserve">Subfilter</t>
  </si>
  <si>
    <t xml:space="preserve">IFRAH ABDULL HASSAN</t>
  </si>
  <si>
    <t xml:space="preserve">Order-Other</t>
  </si>
  <si>
    <t xml:space="preserve">2018-08-28 13:14:28-05:00</t>
  </si>
  <si>
    <t xml:space="preserve">Signature2</t>
  </si>
  <si>
    <t xml:space="preserve">6 0 obj</t>
  </si>
  <si>
    <t xml:space="preserve">yes</t>
  </si>
  <si>
    <t xml:space="preserve">/adbe.pkcs7.detached</t>
  </si>
  <si>
    <t xml:space="preserve">2018-08-29 09:15:26-05:00</t>
  </si>
  <si>
    <t xml:space="preserve">ESolutions</t>
  </si>
  <si>
    <t xml:space="preserve">tyler_sig_e967dbc6-3f83-4521-8864-f2eeb62ecee7</t>
  </si>
  <si>
    <t xml:space="preserve">150 0 obj</t>
  </si>
  <si>
    <t xml:space="preserve">/ETSI.CAdES.detached</t>
  </si>
  <si>
    <t xml:space="preserve">2024-04-30 09:31:10-05:00</t>
  </si>
  <si>
    <t xml:space="preserve">MCRO Download Stamp</t>
  </si>
  <si>
    <t xml:space="preserve">Signature_1e176d39-c5a0-4d80-9aff-8b2d0c004a41</t>
  </si>
  <si>
    <t xml:space="preserve">177 0 obj</t>
  </si>
  <si>
    <t xml:space="preserve">no</t>
  </si>
  <si>
    <t xml:space="preserve">2019-07-31 15:47:25-05:00</t>
  </si>
  <si>
    <t xml:space="preserve">12 0 obj</t>
  </si>
  <si>
    <t xml:space="preserve">2019-08-01 09:55:06-05:00</t>
  </si>
  <si>
    <t xml:space="preserve">tyler_sig_b4603740-8e6f-4ddb-b4cd-82823b6c781a</t>
  </si>
  <si>
    <t xml:space="preserve">254 0 obj</t>
  </si>
  <si>
    <t xml:space="preserve">2024-04-30 09:18:56-05:00</t>
  </si>
  <si>
    <t xml:space="preserve">Signature_0ea3866a-2108-4e2e-8e76-23564657b850</t>
  </si>
  <si>
    <t xml:space="preserve">291 0 obj</t>
  </si>
  <si>
    <t xml:space="preserve">ANNE MARIE RILEY</t>
  </si>
  <si>
    <t xml:space="preserve">2024-01-16 17:34:46-06:00</t>
  </si>
  <si>
    <t xml:space="preserve">Meyer, Kerry (Judge)</t>
  </si>
  <si>
    <t xml:space="preserve">8 0 obj</t>
  </si>
  <si>
    <t xml:space="preserve">2024-01-17 09:07:00-06:00</t>
  </si>
  <si>
    <t xml:space="preserve">tyler_sig_3afc2482-13cb-4f2e-b46b-5e4411917daa</t>
  </si>
  <si>
    <t xml:space="preserve">139 0 obj</t>
  </si>
  <si>
    <t xml:space="preserve">2024-04-30 09:21:36-05:00</t>
  </si>
  <si>
    <t xml:space="preserve">Signature_9229460f-c920-402b-b9c8-ae57093d581c</t>
  </si>
  <si>
    <t xml:space="preserve">161 0 obj</t>
  </si>
  <si>
    <t xml:space="preserve">PAUL JOSEPH OWENS</t>
  </si>
  <si>
    <t xml:space="preserve">Order for Dismissal</t>
  </si>
  <si>
    <t xml:space="preserve">2023-06-29 08:48:16-05:00</t>
  </si>
  <si>
    <t xml:space="preserve">112 0 obj</t>
  </si>
  <si>
    <t xml:space="preserve">2023-06-30 10:45:22-05:00</t>
  </si>
  <si>
    <t xml:space="preserve">tyler_sig_4ea17c39-6e01-448e-a010-20ba14031901</t>
  </si>
  <si>
    <t xml:space="preserve">121 0 obj</t>
  </si>
  <si>
    <t xml:space="preserve">2024-04-30 09:22:54-05:00</t>
  </si>
  <si>
    <t xml:space="preserve">Signature_8d024900-3985-4816-998f-fec5ced4777f</t>
  </si>
  <si>
    <t xml:space="preserve">138 0 obj</t>
  </si>
  <si>
    <t xml:space="preserve">2021-10-27 13:02:04-05:00</t>
  </si>
  <si>
    <t xml:space="preserve">Signature1</t>
  </si>
  <si>
    <t xml:space="preserve">2021-10-28 08:56:30-05:00</t>
  </si>
  <si>
    <t xml:space="preserve">tyler_sig_05c2dfc9-4213-4246-acf9-7538eb02c521</t>
  </si>
  <si>
    <t xml:space="preserve">2024-04-30 08:59:50-05:00</t>
  </si>
  <si>
    <t xml:space="preserve">Signature_a859f102-7d35-4d75-9468-249c4d770ec4</t>
  </si>
  <si>
    <t xml:space="preserve">Order Reinstating Forfeited Cash or Surety Bond</t>
  </si>
  <si>
    <t xml:space="preserve">2021-11-18 17:18:23-06:00</t>
  </si>
  <si>
    <t xml:space="preserve">2021-11-22 12:17:15-06:00</t>
  </si>
  <si>
    <t xml:space="preserve">tyler_sig_83c2dea3-6f5b-4851-9030-f3a30110b30d</t>
  </si>
  <si>
    <t xml:space="preserve">172 0 obj</t>
  </si>
  <si>
    <t xml:space="preserve">2024-04-30 08:59:46-05:00</t>
  </si>
  <si>
    <t xml:space="preserve">Signature_09a9aa13-b168-43ec-bba1-f420d5a6322c</t>
  </si>
  <si>
    <t xml:space="preserve">204 0 obj</t>
  </si>
  <si>
    <t xml:space="preserve">CASPER HUY VUONG</t>
  </si>
  <si>
    <t xml:space="preserve">Order for Conditional Release</t>
  </si>
  <si>
    <t xml:space="preserve">2023-02-15 09:56:52-06:00</t>
  </si>
  <si>
    <t xml:space="preserve">183 0 obj</t>
  </si>
  <si>
    <t xml:space="preserve">2023-02-15 10:05:25-06:00</t>
  </si>
  <si>
    <t xml:space="preserve">191 0 obj</t>
  </si>
  <si>
    <t xml:space="preserve">2024-04-30 09:05:07-05:00</t>
  </si>
  <si>
    <t xml:space="preserve">Signature_a050e25d-9d17-4462-9d64-37eef8880a8c</t>
  </si>
  <si>
    <t xml:space="preserve">238 0 obj</t>
  </si>
  <si>
    <t xml:space="preserve">Rasheed Richardson</t>
  </si>
  <si>
    <t xml:space="preserve">Amended Order</t>
  </si>
  <si>
    <t xml:space="preserve">2024-01-12 16:39:36-06:00</t>
  </si>
  <si>
    <t xml:space="preserve">281 0 obj</t>
  </si>
  <si>
    <t xml:space="preserve">2024-01-16 08:45:11-06:00</t>
  </si>
  <si>
    <t xml:space="preserve">tyler_sig_40741f1b-ccf8-437e-905e-a6b33653c657</t>
  </si>
  <si>
    <t xml:space="preserve">292 0 obj</t>
  </si>
  <si>
    <t xml:space="preserve">2024-04-30 09:05:58-05:00</t>
  </si>
  <si>
    <t xml:space="preserve">Signature_d23ab754-080d-4802-8a77-0a87d60fdd7f</t>
  </si>
  <si>
    <t xml:space="preserve">314 0 obj</t>
  </si>
  <si>
    <t xml:space="preserve">RODRICK JEROME CARPENTER</t>
  </si>
  <si>
    <t xml:space="preserve">2021-04-15 15:07:26-05:00</t>
  </si>
  <si>
    <t xml:space="preserve">Judge</t>
  </si>
  <si>
    <t xml:space="preserve">686 0 obj</t>
  </si>
  <si>
    <t xml:space="preserve">2021-04-16 08:46:12-05:00</t>
  </si>
  <si>
    <t xml:space="preserve">tyler_sig_4a6e8a2e-53a2-4387-a725-50b168dcc7d4</t>
  </si>
  <si>
    <t xml:space="preserve">727 0 obj</t>
  </si>
  <si>
    <t xml:space="preserve">2024-04-30 09:07:18-05:00</t>
  </si>
  <si>
    <t xml:space="preserve">Signature_c5ec9430-2001-4ca6-b1b9-7629950f6c35</t>
  </si>
  <si>
    <t xml:space="preserve">744 0 obj</t>
  </si>
  <si>
    <t xml:space="preserve">GRAHM MARK FLETCHER</t>
  </si>
  <si>
    <t xml:space="preserve">2024-01-18 17:24:25-06:00</t>
  </si>
  <si>
    <t xml:space="preserve">Benson, Bev</t>
  </si>
  <si>
    <t xml:space="preserve">163 0 obj</t>
  </si>
  <si>
    <t xml:space="preserve">2024-01-23 10:41:57-06:00</t>
  </si>
  <si>
    <t xml:space="preserve">tyler_sig_7b0e46b9-20e5-44a8-aa5d-71e2b500eb98</t>
  </si>
  <si>
    <t xml:space="preserve">193 0 obj</t>
  </si>
  <si>
    <t xml:space="preserve">2024-04-30 08:00:56-05:00</t>
  </si>
  <si>
    <t xml:space="preserve">Signature_6601bfc0-c578-43c4-8a34-2f88306974da</t>
  </si>
  <si>
    <t xml:space="preserve">210 0 obj</t>
  </si>
  <si>
    <t xml:space="preserve">Order-Evaluation for Competency to Proceed (Rule 20.01)</t>
  </si>
  <si>
    <t xml:space="preserve">2022-04-20 08:58:48-05:00</t>
  </si>
  <si>
    <t xml:space="preserve">22 0 obj</t>
  </si>
  <si>
    <t xml:space="preserve">2024-04-30 08:04:10-05:00</t>
  </si>
  <si>
    <t xml:space="preserve">Signature_7fdf0259-dded-4ae2-921a-08827c1b9c0f</t>
  </si>
  <si>
    <t xml:space="preserve">427 0 obj</t>
  </si>
  <si>
    <t xml:space="preserve">2022-04-20 09:01:50-05:00</t>
  </si>
  <si>
    <t xml:space="preserve">393 0 obj</t>
  </si>
  <si>
    <t xml:space="preserve">2022-04-21 10:09:56-05:00</t>
  </si>
  <si>
    <t xml:space="preserve">tyler_sig_0c6cd1f6-3aca-45fa-b265-b2dc2fbf5965</t>
  </si>
  <si>
    <t xml:space="preserve">419 0 obj</t>
  </si>
  <si>
    <t xml:space="preserve">2024-04-30 08:04:07-05:00</t>
  </si>
  <si>
    <t xml:space="preserve">Signature_304a0fb3-7893-4272-814c-cc3f1498ded4</t>
  </si>
  <si>
    <t xml:space="preserve">436 0 obj</t>
  </si>
  <si>
    <t xml:space="preserve">Stephone Ahmad Gammage</t>
  </si>
  <si>
    <t xml:space="preserve">Order to Transport</t>
  </si>
  <si>
    <t xml:space="preserve">2023-04-11 17:05:56-05:00</t>
  </si>
  <si>
    <t xml:space="preserve">90 0 obj</t>
  </si>
  <si>
    <t xml:space="preserve">2023-04-12 08:07:25-05:00</t>
  </si>
  <si>
    <t xml:space="preserve">tyler_sig_88e22d93-05af-411e-b810-ac23545ed492</t>
  </si>
  <si>
    <t xml:space="preserve">108 0 obj</t>
  </si>
  <si>
    <t xml:space="preserve">2024-04-30 08:17:43-05:00</t>
  </si>
  <si>
    <t xml:space="preserve">Signature_cd1e38ba-5f4b-4f68-a762-6860f90aeb9f</t>
  </si>
  <si>
    <t xml:space="preserve">125 0 obj</t>
  </si>
  <si>
    <t xml:space="preserve">JULIET KAY HIGGINS</t>
  </si>
  <si>
    <t xml:space="preserve">Order for Production of Medical Records</t>
  </si>
  <si>
    <t xml:space="preserve">2023-04-03 13:39:53-05:00</t>
  </si>
  <si>
    <t xml:space="preserve">120 0 obj</t>
  </si>
  <si>
    <t xml:space="preserve">2023-04-04 11:03:46-05:00</t>
  </si>
  <si>
    <t xml:space="preserve">tyler_sig_0a4af2fc-1df6-4a1d-b8a0-c7218d1fddde</t>
  </si>
  <si>
    <t xml:space="preserve">130 0 obj</t>
  </si>
  <si>
    <t xml:space="preserve">2024-04-29 16:20:59-05:00</t>
  </si>
  <si>
    <t xml:space="preserve">Signature_ed5d5484-d082-473e-bc46-7ff9c4c39298</t>
  </si>
  <si>
    <t xml:space="preserve">154 0 obj</t>
  </si>
  <si>
    <t xml:space="preserve">JARELLE THOMAS VAUGHN</t>
  </si>
  <si>
    <t xml:space="preserve">2023-04-03 13:39:54-05:00</t>
  </si>
  <si>
    <t xml:space="preserve">116 0 obj</t>
  </si>
  <si>
    <t xml:space="preserve">2023-04-04 11:04:25-05:00</t>
  </si>
  <si>
    <t xml:space="preserve">tyler_sig_84162932-a301-4586-97fd-358da74dd64c</t>
  </si>
  <si>
    <t xml:space="preserve">126 0 obj</t>
  </si>
  <si>
    <t xml:space="preserve">2024-04-29 16:27:55-05:00</t>
  </si>
  <si>
    <t xml:space="preserve">Signature_bd3509c0-8452-4abf-a622-86fe18c650d1</t>
  </si>
  <si>
    <t xml:space="preserve">Order for Continuance</t>
  </si>
  <si>
    <t xml:space="preserve">2023-06-14 14:23:20-05:00</t>
  </si>
  <si>
    <t xml:space="preserve">170 0 obj</t>
  </si>
  <si>
    <t xml:space="preserve">2023-06-15 08:48:10-05:00</t>
  </si>
  <si>
    <t xml:space="preserve">tyler_sig_fb63503d-554f-4e4b-a358-34c4a24d5b4f</t>
  </si>
  <si>
    <t xml:space="preserve">196 0 obj</t>
  </si>
  <si>
    <t xml:space="preserve">2024-04-30 07:23:57-05:00</t>
  </si>
  <si>
    <t xml:space="preserve">Signature_f1454f6c-5d55-4f53-8ccc-6a3e3bc77e7a</t>
  </si>
  <si>
    <t xml:space="preserve">213 0 obj</t>
  </si>
  <si>
    <t xml:space="preserve">ROBERT WILLIAM BALSIMO</t>
  </si>
  <si>
    <t xml:space="preserve">2024-02-13 14:40:05-06:00</t>
  </si>
  <si>
    <t xml:space="preserve">208 0 obj</t>
  </si>
  <si>
    <t xml:space="preserve">2024-02-13 14:42:00-06:00</t>
  </si>
  <si>
    <t xml:space="preserve">215 0 obj</t>
  </si>
  <si>
    <t xml:space="preserve">2024-02-14 09:07:48-06:00</t>
  </si>
  <si>
    <t xml:space="preserve">tyler_sig_70a8b621-d30a-4fe9-abaa-6218e50c0cdf</t>
  </si>
  <si>
    <t xml:space="preserve">224 0 obj</t>
  </si>
  <si>
    <t xml:space="preserve">2024-04-30 07:50:09-05:00</t>
  </si>
  <si>
    <t xml:space="preserve">Signature_5ff33570-7bfe-48f0-9673-57fd48ae582a</t>
  </si>
  <si>
    <t xml:space="preserve">241 0 obj</t>
  </si>
  <si>
    <t xml:space="preserve">MARK ANTHONY REINHART</t>
  </si>
  <si>
    <t xml:space="preserve">2023-05-18 16:24:07-05:00</t>
  </si>
  <si>
    <t xml:space="preserve">122 0 obj</t>
  </si>
  <si>
    <t xml:space="preserve">2023-05-22 08:18:54-05:00</t>
  </si>
  <si>
    <t xml:space="preserve">tyler_sig_2fb6371c-3dfb-4e40-800f-377f513ca035</t>
  </si>
  <si>
    <t xml:space="preserve">132 0 obj</t>
  </si>
  <si>
    <t xml:space="preserve">2024-04-30 07:31:54-05:00</t>
  </si>
  <si>
    <t xml:space="preserve">Signature_580de515-86ea-4e7a-8e2b-090270d4aa00</t>
  </si>
  <si>
    <t xml:space="preserve">151 0 obj</t>
  </si>
  <si>
    <t xml:space="preserve">Object_description</t>
  </si>
  <si>
    <t xml:space="preserve">Object_family</t>
  </si>
  <si>
    <t xml:space="preserve">Object_sha256</t>
  </si>
  <si>
    <t xml:space="preserve">Object_type</t>
  </si>
  <si>
    <t xml:space="preserve">MAKIS DUVELL LANE  8120 West River Road  Brooklyn Park MN 55444</t>
  </si>
  <si>
    <t xml:space="preserve">USPS Mail Scan</t>
  </si>
  <si>
    <t xml:space="preserve">Returned Mail</t>
  </si>
  <si>
    <t xml:space="preserve">.jpg</t>
  </si>
  <si>
    <t xml:space="preserve">MAKIS DEVIL LANE  8261 RIVERVIEW LN #9  MAIL ONLY</t>
  </si>
  <si>
    <t xml:space="preserve">ANGELIC DENISE NUNN  740 E 17th Street  Minneapolis MN  55404</t>
  </si>
  <si>
    <t xml:space="preserve">ANGELIC DENISE NUNN  740 E 17TH STREET  Minneapolis MN  55408</t>
  </si>
  <si>
    <t xml:space="preserve">ANGELIC DENISE NUNN  740 E 17TH STREE  Minneapolis MN  55404</t>
  </si>
  <si>
    <t xml:space="preserve">ANGELIC DENISE NUNN  740 E 17TH AVE</t>
  </si>
  <si>
    <t xml:space="preserve">.png</t>
  </si>
  <si>
    <t xml:space="preserve">ANGELIC DENISE NUNN  740 17TH AVE NE</t>
  </si>
  <si>
    <t xml:space="preserve">ANGELIC DENISE NUNN  740 17TH ST E  MINNEAPOLIS MN 55404</t>
  </si>
  <si>
    <t xml:space="preserve">AESHA IBRAHIM OSMAN  3200 63RD AVE N  BROOKLYN CENTER MN 55429</t>
  </si>
  <si>
    <t xml:space="preserve">BRITTANY LATESHA CRUTCHFIELD</t>
  </si>
  <si>
    <t xml:space="preserve">BRITTANY LATESHA CRUTCHF  1010 CURRY  MINNEAPOLIS MN 55402</t>
  </si>
  <si>
    <t xml:space="preserve">ISAAC LEE KELLEY</t>
  </si>
  <si>
    <t xml:space="preserve">ISAAC LEE KELLEY  10040 DOGWOOD ST NW #B3  COON RAPIDS MN 55448</t>
  </si>
  <si>
    <t xml:space="preserve">Isaac Lee Kelley</t>
  </si>
  <si>
    <t xml:space="preserve">HOLLY ROSE FRAME  FRAME LAW,LLC  250 SECOND AVENUE SOUTH #20</t>
  </si>
  <si>
    <t xml:space="preserve">RODRICK JEROME CARPENTER, II  NOVA HOUSE  1330 S GERMAN ST  NEW ULM, MN 56073</t>
  </si>
  <si>
    <t xml:space="preserve">RODRICK JEROME CARPENTER, II</t>
  </si>
  <si>
    <t xml:space="preserve">WILLIAM LEE NABORS</t>
  </si>
  <si>
    <t xml:space="preserve">WILLIAM LEE NABORS  2029 WILLOW AVE N,  UNIT UPPER</t>
  </si>
  <si>
    <t xml:space="preserve">Object_size</t>
  </si>
  <si>
    <t xml:space="preserve">Person_name</t>
  </si>
  <si>
    <t xml:space="preserve">Person_role</t>
  </si>
  <si>
    <t xml:space="preserve">Object_date</t>
  </si>
  <si>
    <t xml:space="preserve">Object_time</t>
  </si>
  <si>
    <t xml:space="preserve">Image_w</t>
  </si>
  <si>
    <t xml:space="preserve">Image_h</t>
  </si>
  <si>
    <t xml:space="preserve">Dayton Klein, Julia Mar 28 2023 9:42 AM</t>
  </si>
  <si>
    <t xml:space="preserve">Judicial Officer Timestamp</t>
  </si>
  <si>
    <t xml:space="preserve">Julia Dayton Klein</t>
  </si>
  <si>
    <t xml:space="preserve">Judicial Officer</t>
  </si>
  <si>
    <t xml:space="preserve">09:42</t>
  </si>
  <si>
    <t xml:space="preserve">Browne, Michael Oct 31 2023 4:21 PM</t>
  </si>
  <si>
    <t xml:space="preserve">Michael K. Browne</t>
  </si>
  <si>
    <t xml:space="preserve">16:21</t>
  </si>
  <si>
    <t xml:space="preserve">Dayton Klein, Julia Aug 21 2023 9:19 AM</t>
  </si>
  <si>
    <t xml:space="preserve">09:19</t>
  </si>
  <si>
    <t xml:space="preserve">Browne, Michael Feb 21 2024 3:51 PM</t>
  </si>
  <si>
    <t xml:space="preserve">15:51</t>
  </si>
  <si>
    <t xml:space="preserve">Browne, Michael Feb 22 2023 9:26 AM</t>
  </si>
  <si>
    <t xml:space="preserve">09:26</t>
  </si>
  <si>
    <t xml:space="preserve">Mercurio, Danielle May 2 2023 3:12 PM</t>
  </si>
  <si>
    <t xml:space="preserve">Danielle Mercurio</t>
  </si>
  <si>
    <t xml:space="preserve">15:12</t>
  </si>
  <si>
    <t xml:space="preserve">Browne, Michael Mar 21 2024 3:04 PM</t>
  </si>
  <si>
    <t xml:space="preserve">15:04</t>
  </si>
  <si>
    <t xml:space="preserve">Browne, Michael Jan 9 2023 4:10 PM</t>
  </si>
  <si>
    <t xml:space="preserve">16:10</t>
  </si>
  <si>
    <t xml:space="preserve">Dayton Klein, Julia Dec 21 2023 4:10 PM</t>
  </si>
  <si>
    <t xml:space="preserve">Allyn, Julie Jan 18 2022 5:11 PM</t>
  </si>
  <si>
    <t xml:space="preserve">Julie Allyn</t>
  </si>
  <si>
    <t xml:space="preserve">17:11</t>
  </si>
  <si>
    <t xml:space="preserve">Allyn, Julie Feb 16 2022 2:02 PM</t>
  </si>
  <si>
    <t xml:space="preserve">14:02</t>
  </si>
  <si>
    <t xml:space="preserve">Browne, Michael Jan 26 2024 8:17 AM</t>
  </si>
  <si>
    <t xml:space="preserve">08:17</t>
  </si>
  <si>
    <t xml:space="preserve">Browne, Michael Sep 18 2023 11:48 AM</t>
  </si>
  <si>
    <t xml:space="preserve">11:48</t>
  </si>
  <si>
    <t xml:space="preserve">Dayton Klein, Julia Jan 5 2023 4:14 PM</t>
  </si>
  <si>
    <t xml:space="preserve">16:14</t>
  </si>
  <si>
    <t xml:space="preserve">Borer, George May 31 2023 3:22 PM</t>
  </si>
  <si>
    <t xml:space="preserve">George Borer</t>
  </si>
  <si>
    <t xml:space="preserve">15:22</t>
  </si>
  <si>
    <t xml:space="preserve">Borer, George Mar 19 2024 4:07 PM</t>
  </si>
  <si>
    <t xml:space="preserve">16:07</t>
  </si>
  <si>
    <t xml:space="preserve">Mercurio, Danielle Jun 6 2023 3:58 PM</t>
  </si>
  <si>
    <t xml:space="preserve">15:58</t>
  </si>
  <si>
    <t xml:space="preserve">Dayton Klein, Julia Sep 27 2023 1:42 PM</t>
  </si>
  <si>
    <t xml:space="preserve">13:42</t>
  </si>
  <si>
    <t xml:space="preserve">Dayton Klein, Julia Apr 4 2023 4:09 PM</t>
  </si>
  <si>
    <t xml:space="preserve">16:09</t>
  </si>
  <si>
    <t xml:space="preserve">Skibbie, Lori Oct 10 2023 6:36 PM</t>
  </si>
  <si>
    <t xml:space="preserve">Lori Skibbie</t>
  </si>
  <si>
    <t xml:space="preserve">18:36</t>
  </si>
  <si>
    <t xml:space="preserve">Browne, Michael Jul 18 2023 4:45 PM</t>
  </si>
  <si>
    <t xml:space="preserve">16:45</t>
  </si>
  <si>
    <t xml:space="preserve">Carmen Bendu Greaves</t>
  </si>
  <si>
    <t xml:space="preserve">Browne, Michael Jun 12 2023 11:15 AM</t>
  </si>
  <si>
    <t xml:space="preserve">11:15</t>
  </si>
  <si>
    <t xml:space="preserve">Mercurio, Danielle Feb 21 2023 3:15 PM</t>
  </si>
  <si>
    <t xml:space="preserve">15:15</t>
  </si>
  <si>
    <t xml:space="preserve">Mercurio, Danielle Jan 18 2023 8:24 AM</t>
  </si>
  <si>
    <t xml:space="preserve">08:24</t>
  </si>
  <si>
    <t xml:space="preserve">Browne, Michael Mar 5 2024 3:12 PM</t>
  </si>
  <si>
    <t xml:space="preserve">Dayton Klein, Julia Mar 7 2023 4:51 PM</t>
  </si>
  <si>
    <t xml:space="preserve">16:51</t>
  </si>
  <si>
    <t xml:space="preserve">Browne, Michael Dec 30 2022 4:10 PM</t>
  </si>
  <si>
    <t xml:space="preserve">Browne, Michael Jun 27 2023 10:03 AM</t>
  </si>
  <si>
    <t xml:space="preserve">10:03</t>
  </si>
  <si>
    <t xml:space="preserve">RICKY NELSON SULLIVAN, Jr.</t>
  </si>
  <si>
    <t xml:space="preserve">Browne, Michael Feb 23 2024 4:25 PM</t>
  </si>
  <si>
    <t xml:space="preserve">16:25</t>
  </si>
  <si>
    <t xml:space="preserve">Skibbie, Lori Nov 14 2023 2:13 PM</t>
  </si>
  <si>
    <t xml:space="preserve">14:13</t>
  </si>
  <si>
    <t xml:space="preserve">Skibbie, Lori Oct 11 2023 1:10 PM</t>
  </si>
  <si>
    <t xml:space="preserve">13:10</t>
  </si>
  <si>
    <t xml:space="preserve">Browne, Michael Apr 24 2024 3:52 PM</t>
  </si>
  <si>
    <t xml:space="preserve">15:52</t>
  </si>
  <si>
    <t xml:space="preserve">Browne, Michael Jan 11 2024 3:31 PM</t>
  </si>
  <si>
    <t xml:space="preserve">15:31</t>
  </si>
  <si>
    <t xml:space="preserve">Browne, Michael Jun 12 2023 9:21 AM</t>
  </si>
  <si>
    <t xml:space="preserve">09:21</t>
  </si>
  <si>
    <t xml:space="preserve">Abdinour Mohamed Alasow</t>
  </si>
  <si>
    <t xml:space="preserve">Borer, George Feb 15 2023 6:44 AM</t>
  </si>
  <si>
    <t xml:space="preserve">06:44</t>
  </si>
  <si>
    <t xml:space="preserve">Dayton Klein, Julia Mar 27 2023 1:03 PM</t>
  </si>
  <si>
    <t xml:space="preserve">13:03</t>
  </si>
  <si>
    <t xml:space="preserve">Dayton Klein, Julia Nov 7 2023 11:43 AM</t>
  </si>
  <si>
    <t xml:space="preserve">11:43</t>
  </si>
  <si>
    <t xml:space="preserve">Browne, Michael Jul 11 2023 4:18 PM</t>
  </si>
  <si>
    <t xml:space="preserve">16:18</t>
  </si>
  <si>
    <t xml:space="preserve">Browne, Michael Sep 7 2023 3:47 PM</t>
  </si>
  <si>
    <t xml:space="preserve">15:47</t>
  </si>
  <si>
    <t xml:space="preserve">Skibbie, Lori May 23 2023 5:53 PM</t>
  </si>
  <si>
    <t xml:space="preserve">17:53</t>
  </si>
  <si>
    <t xml:space="preserve">Browne, Michael Nov 28 2023 4:19 PM</t>
  </si>
  <si>
    <t xml:space="preserve">16:19</t>
  </si>
  <si>
    <t xml:space="preserve">Browne, Michael Dec 27 2022 4:01 PM</t>
  </si>
  <si>
    <t xml:space="preserve">16:01</t>
  </si>
  <si>
    <t xml:space="preserve">Borer, George  Apr 11 2024 8:35 AM</t>
  </si>
  <si>
    <t xml:space="preserve">08:35</t>
  </si>
  <si>
    <t xml:space="preserve">Dayton Klein, Julia Feb 15 2023 12:00 PM</t>
  </si>
  <si>
    <t xml:space="preserve">24:00</t>
  </si>
  <si>
    <t xml:space="preserve">ANGELIC DENISE SCHAEFER, AKA ANGELIC N  740 E 17TH STREE  MINNEAPOLIS MN 55404</t>
  </si>
  <si>
    <t xml:space="preserve">ANGELIC DENISE NUNN  740 E 17th Street  Minneapolis MN 55404</t>
  </si>
  <si>
    <t xml:space="preserve">ANGELIC DENISE NUNN  740 E 17TH STREE  Minneapolis MN 55404</t>
  </si>
  <si>
    <t xml:space="preserve">ANGELIC DENISE NUNN  740 E 17TH ST</t>
  </si>
  <si>
    <t xml:space="preserve">ANGELIC DENISE NUNN  740 E 17TH STREET Minneapolis MN 55408</t>
  </si>
  <si>
    <t xml:space="preserve">MOHAMED ABDI SHIDE</t>
  </si>
  <si>
    <t xml:space="preserve">MOHAM 740 E 17  MINNEA</t>
  </si>
  <si>
    <t xml:space="preserve">MOHAMED ABDI SHIDE  740 E 17TH ST  MINNEAPOLIS MN 55404-1601</t>
  </si>
  <si>
    <t xml:space="preserve">Seq</t>
  </si>
  <si>
    <t xml:space="preserve">Target</t>
  </si>
  <si>
    <t xml:space="preserve">AA_slot</t>
  </si>
  <si>
    <t xml:space="preserve">Tag_or_V_obj</t>
  </si>
  <si>
    <t xml:space="preserve">Code</t>
  </si>
  <si>
    <t xml:space="preserve">002_Annot.AA.K.js</t>
  </si>
  <si>
    <t xml:space="preserve">Annot</t>
  </si>
  <si>
    <t xml:space="preserve">AA.K</t>
  </si>
  <si>
    <t xml:space="preserve">AFDate_KeystrokeEx("m/d/yyyy h:MM tt");</t>
  </si>
  <si>
    <t xml:space="preserve">Lawrence Joseph Durheim</t>
  </si>
  <si>
    <t xml:space="preserve">003_Annot.AA.F.js</t>
  </si>
  <si>
    <t xml:space="preserve">AA.F</t>
  </si>
  <si>
    <t xml:space="preserve">AFDate_FormatEx("m/d/yyyy h:MM tt");</t>
  </si>
  <si>
    <t xml:space="preserve">004_Annot.AA.K.js</t>
  </si>
  <si>
    <t xml:space="preserve">AFDate_KeystrokeEx("mmmm d, yyyy");</t>
  </si>
  <si>
    <t xml:space="preserve">005_Annot.AA.F.js</t>
  </si>
  <si>
    <t xml:space="preserve">AFDate_FormatEx("mmmm d, yyyy");</t>
  </si>
  <si>
    <t xml:space="preserve">006_Field.AA.K_Today_.js</t>
  </si>
  <si>
    <t xml:space="preserve">Field</t>
  </si>
  <si>
    <t xml:space="preserve">Today</t>
  </si>
  <si>
    <t xml:space="preserve">007_Field.AA.F_Today_.js</t>
  </si>
  <si>
    <t xml:space="preserve">008_Field.AA.K_JudgeDate_.js</t>
  </si>
  <si>
    <t xml:space="preserve">JudgeDate</t>
  </si>
  <si>
    <t xml:space="preserve">009_Field.AA.F_JudgeDate_.js</t>
  </si>
  <si>
    <t xml:space="preserve">567 0 obj</t>
  </si>
  <si>
    <t xml:space="preserve"> ╰─ 396 0</t>
  </si>
  <si>
    <t xml:space="preserve">&lt;&lt;</t>
  </si>
  <si>
    <t xml:space="preserve">  /Length 510</t>
  </si>
  <si>
    <t xml:space="preserve">&gt;&gt;</t>
  </si>
  <si>
    <t xml:space="preserve">// JavaScript code to add the date at signing time</t>
  </si>
  <si>
    <t xml:space="preserve">    var currentTime = new Date()</t>
  </si>
  <si>
    <t xml:space="preserve">    var month = currentTime.getMonth() + 1</t>
  </si>
  <si>
    <t xml:space="preserve">    var day = currentTime.getDate()</t>
  </si>
  <si>
    <t xml:space="preserve">    var year = currentTime.getFullYear()</t>
  </si>
  <si>
    <t xml:space="preserve">var Hours = currentTime.getHours()</t>
  </si>
  <si>
    <t xml:space="preserve">var Minutes = currentTime.getMinutes()</t>
  </si>
  <si>
    <t xml:space="preserve">var Seconds = currentTime.getSeconds()</t>
  </si>
  <si>
    <t xml:space="preserve">    var signingTime = month +"/"+day+"/"+year+" "+Hours+":"+Minutes+":"+Seconds</t>
  </si>
  <si>
    <t xml:space="preserve">    var f = this.getField("Today");  //Modify the field name as necessary</t>
  </si>
  <si>
    <t xml:space="preserve">    f.value = signingTime;</t>
  </si>
  <si>
    <t xml:space="preserve">570 0 obj</t>
  </si>
  <si>
    <t xml:space="preserve"> ╰─ 408 0</t>
  </si>
  <si>
    <t xml:space="preserve">571 0 obj</t>
  </si>
  <si>
    <t xml:space="preserve"> ╰─ 417 0</t>
  </si>
  <si>
    <t xml:space="preserve">  /Length 378</t>
  </si>
  <si>
    <t xml:space="preserve"> // JavaScript code to add the date at signing time</t>
  </si>
  <si>
    <t xml:space="preserve">    var signingTime = month +"/"+day+"/"+year</t>
  </si>
  <si>
    <t xml:space="preserve">    var f = this.getField("JudgeDate");  //Modify the field name as necessary</t>
  </si>
  <si>
    <t xml:space="preserve">573 0 obj</t>
  </si>
  <si>
    <t xml:space="preserve"> ╰─ 400 0</t>
  </si>
  <si>
    <t xml:space="preserve">    f.value = signingTime;     </t>
  </si>
  <si>
    <t xml:space="preserve">576 0 obj</t>
  </si>
  <si>
    <t xml:space="preserve"> ╰─ 411 0</t>
  </si>
  <si>
    <t xml:space="preserve">    f.value = signingTime;    </t>
  </si>
  <si>
    <t xml:space="preserve">577 0 obj</t>
  </si>
  <si>
    <t xml:space="preserve"> ╰─ 422 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</si>
</sst>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sz val="12"/>
      <color rgb="FF000000"/>
      <name val="Arial"/>
      <family val="2"/>
    </font>
    <font>
      <b val="true"/>
      <sz val="12"/>
      <name val="Arial"/>
      <family val="2"/>
    </font>
    <font>
      <u val="single"/>
      <sz val="12"/>
      <color rgb="FF000080"/>
      <name val="Arial"/>
      <family val="2"/>
    </font>
    <font>
      <sz val="12"/>
      <color rgb="FF000080"/>
      <name val="Arial"/>
      <family val="2"/>
    </font>
    <font>
      <b val="true"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12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4" activeCellId="0" sqref="D4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2" width="15.97"/>
    <col collapsed="false" customWidth="true" hidden="false" outlineLevel="0" max="3" min="3" style="3" width="21.02"/>
    <col collapsed="false" customWidth="true" hidden="false" outlineLevel="0" max="4" min="4" style="3" width="38.46"/>
    <col collapsed="false" customWidth="true" hidden="false" outlineLevel="0" max="5" min="5" style="3" width="124.46"/>
    <col collapsed="false" customWidth="true" hidden="false" outlineLevel="0" max="6" min="6" style="1" width="16.85"/>
    <col collapsed="false" customWidth="true" hidden="false" outlineLevel="0" max="7" min="7" style="1" width="31.68"/>
    <col collapsed="false" customWidth="true" hidden="false" outlineLevel="0" max="8" min="8" style="3" width="53.49"/>
    <col collapsed="false" customWidth="true" hidden="false" outlineLevel="0" max="9" min="9" style="3" width="51.06"/>
    <col collapsed="false" customWidth="true" hidden="false" outlineLevel="0" max="10" min="10" style="3" width="23.06"/>
    <col collapsed="false" customWidth="true" hidden="false" outlineLevel="0" max="11" min="11" style="1" width="25.27"/>
    <col collapsed="false" customWidth="true" hidden="false" outlineLevel="0" max="12" min="12" style="3" width="35.42"/>
    <col collapsed="false" customWidth="true" hidden="false" outlineLevel="0" max="13" min="13" style="3" width="22.64"/>
    <col collapsed="false" customWidth="true" hidden="false" outlineLevel="0" max="14" min="14" style="1" width="25.14"/>
    <col collapsed="false" customWidth="true" hidden="false" outlineLevel="0" max="15" min="15" style="3" width="35.64"/>
    <col collapsed="false" customWidth="false" hidden="false" outlineLevel="0" max="1024" min="16" style="4" width="11.52"/>
  </cols>
  <sheetData>
    <row r="1" customFormat="false" ht="23.05" hidden="false" customHeight="true" outlineLevel="0" collapsed="false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</row>
    <row r="2" customFormat="false" ht="18.7" hidden="false" customHeight="true" outlineLevel="0" collapsed="false">
      <c r="A2" s="1" t="n">
        <v>1</v>
      </c>
      <c r="B2" s="7" t="str">
        <f aca="false">HYPERLINK("https://mncourtfraud.com/file/LPK-1.zip","LPK-1.zip")</f>
        <v>LPK-1.zip</v>
      </c>
      <c r="C2" s="8" t="str">
        <f aca="false">HYPERLINK("https://mncourtfraud.com/file/27-CR-21-8067.pdf","27-CR-21-8067")</f>
        <v>27-CR-21-8067</v>
      </c>
      <c r="D2" s="3" t="s">
        <v>15</v>
      </c>
      <c r="E2" s="8" t="str">
        <f aca="false">HYPERLINK("https://mncourtfraud.com/file/MCRO_27-CR-21-8067_Demand or Request for Discovery_2021-08-02_20240430080652.pdf","MCRO_27-CR-21-8067_Demand or Request for Discovery_2021-08-02_20240430080652.pdf")</f>
        <v>MCRO_27-CR-21-8067_Demand or Request for Discovery_2021-08-02_20240430080652.pdf</v>
      </c>
      <c r="F2" s="9" t="n">
        <v>44410</v>
      </c>
      <c r="G2" s="1" t="s">
        <v>16</v>
      </c>
      <c r="H2" s="3" t="s">
        <v>17</v>
      </c>
      <c r="I2" s="3" t="s">
        <v>18</v>
      </c>
      <c r="K2" s="10"/>
      <c r="N2" s="10"/>
    </row>
    <row r="3" customFormat="false" ht="18.7" hidden="false" customHeight="true" outlineLevel="0" collapsed="false">
      <c r="A3" s="1" t="n">
        <v>2</v>
      </c>
      <c r="B3" s="7" t="str">
        <f aca="false">HYPERLINK("https://mncourtfraud.com/file/LPK-1.zip","LPK-1.zip")</f>
        <v>LPK-1.zip</v>
      </c>
      <c r="C3" s="8" t="str">
        <f aca="false">HYPERLINK("https://mncourtfraud.com/file/27-CR-21-8227.pdf","27-CR-21-8227")</f>
        <v>27-CR-21-8227</v>
      </c>
      <c r="D3" s="3" t="s">
        <v>15</v>
      </c>
      <c r="E3" s="8" t="str">
        <f aca="false">HYPERLINK("https://mncourtfraud.com/file/MCRO_27-CR-21-8227_Demand or Request for Discovery_2021-08-02_20240430080745.pdf","MCRO_27-CR-21-8227_Demand or Request for Discovery_2021-08-02_20240430080745.pdf")</f>
        <v>MCRO_27-CR-21-8227_Demand or Request for Discovery_2021-08-02_20240430080745.pdf</v>
      </c>
      <c r="F3" s="9" t="n">
        <v>44410</v>
      </c>
      <c r="G3" s="1" t="s">
        <v>16</v>
      </c>
      <c r="H3" s="3" t="s">
        <v>17</v>
      </c>
      <c r="I3" s="3" t="s">
        <v>19</v>
      </c>
      <c r="K3" s="10"/>
      <c r="N3" s="10"/>
    </row>
    <row r="4" customFormat="false" ht="18.7" hidden="false" customHeight="true" outlineLevel="0" collapsed="false">
      <c r="A4" s="1" t="n">
        <v>3</v>
      </c>
      <c r="B4" s="7" t="str">
        <f aca="false">HYPERLINK("https://mncourtfraud.com/file/LPK-1.zip","LPK-1.zip")</f>
        <v>LPK-1.zip</v>
      </c>
      <c r="C4" s="8" t="str">
        <f aca="false">HYPERLINK("https://mncourtfraud.com/file/27-CR-21-8228.pdf","27-CR-21-8228")</f>
        <v>27-CR-21-8228</v>
      </c>
      <c r="D4" s="3" t="s">
        <v>15</v>
      </c>
      <c r="E4" s="8" t="str">
        <f aca="false">HYPERLINK("https://mncourtfraud.com/file/MCRO_27-CR-21-8228_Demand or Request for Discovery_2021-08-02_20240430080837.pdf","MCRO_27-CR-21-8228_Demand or Request for Discovery_2021-08-02_20240430080837.pdf")</f>
        <v>MCRO_27-CR-21-8228_Demand or Request for Discovery_2021-08-02_20240430080837.pdf</v>
      </c>
      <c r="F4" s="9" t="n">
        <v>44410</v>
      </c>
      <c r="G4" s="1" t="s">
        <v>16</v>
      </c>
      <c r="H4" s="3" t="s">
        <v>17</v>
      </c>
      <c r="I4" s="3" t="s">
        <v>20</v>
      </c>
      <c r="K4" s="10"/>
      <c r="N4" s="10"/>
    </row>
    <row r="5" customFormat="false" ht="18.7" hidden="false" customHeight="true" outlineLevel="0" collapsed="false">
      <c r="A5" s="1" t="n">
        <v>4</v>
      </c>
      <c r="B5" s="7" t="str">
        <f aca="false">HYPERLINK("https://mncourtfraud.com/file/LPK-1.zip","LPK-1.zip")</f>
        <v>LPK-1.zip</v>
      </c>
      <c r="C5" s="8" t="str">
        <f aca="false">HYPERLINK("https://mncourtfraud.com/file/27-CR-21-8229.pdf","27-CR-21-8229")</f>
        <v>27-CR-21-8229</v>
      </c>
      <c r="D5" s="3" t="s">
        <v>15</v>
      </c>
      <c r="E5" s="8" t="str">
        <f aca="false">HYPERLINK("https://mncourtfraud.com/file/MCRO_27-CR-21-8229_Demand or Request for Discovery_2021-08-02_20240430081535.pdf","MCRO_27-CR-21-8229_Demand or Request for Discovery_2021-08-02_20240430081535.pdf")</f>
        <v>MCRO_27-CR-21-8229_Demand or Request for Discovery_2021-08-02_20240430081535.pdf</v>
      </c>
      <c r="F5" s="9" t="n">
        <v>44410</v>
      </c>
      <c r="G5" s="1" t="s">
        <v>16</v>
      </c>
      <c r="H5" s="3" t="s">
        <v>17</v>
      </c>
      <c r="I5" s="3" t="s">
        <v>21</v>
      </c>
      <c r="K5" s="10"/>
      <c r="N5" s="10"/>
    </row>
    <row r="6" customFormat="false" ht="18.7" hidden="false" customHeight="true" outlineLevel="0" collapsed="false">
      <c r="A6" s="1" t="n">
        <v>5</v>
      </c>
      <c r="B6" s="7" t="str">
        <f aca="false">HYPERLINK("https://mncourtfraud.com/file/LPK-1.zip","LPK-1.zip")</f>
        <v>LPK-1.zip</v>
      </c>
      <c r="C6" s="8" t="str">
        <f aca="false">HYPERLINK("https://mncourtfraud.com/file/27-CR-21-8230.pdf","27-CR-21-8230")</f>
        <v>27-CR-21-8230</v>
      </c>
      <c r="D6" s="3" t="s">
        <v>15</v>
      </c>
      <c r="E6" s="8" t="str">
        <f aca="false">HYPERLINK("https://mncourtfraud.com/file/MCRO_27-CR-21-8230_Demand or Request for Discovery_2021-08-02_20240430081652.pdf","MCRO_27-CR-21-8230_Demand or Request for Discovery_2021-08-02_20240430081652.pdf")</f>
        <v>MCRO_27-CR-21-8230_Demand or Request for Discovery_2021-08-02_20240430081652.pdf</v>
      </c>
      <c r="F6" s="9" t="n">
        <v>44410</v>
      </c>
      <c r="G6" s="1" t="s">
        <v>16</v>
      </c>
      <c r="H6" s="3" t="s">
        <v>17</v>
      </c>
      <c r="I6" s="3" t="s">
        <v>22</v>
      </c>
      <c r="K6" s="10"/>
      <c r="N6" s="10"/>
    </row>
    <row r="7" customFormat="false" ht="18.7" hidden="false" customHeight="true" outlineLevel="0" collapsed="false">
      <c r="A7" s="1" t="n">
        <v>6</v>
      </c>
      <c r="B7" s="7" t="str">
        <f aca="false">HYPERLINK("https://mncourtfraud.com/file/LPK-1.zip","LPK-1.zip")</f>
        <v>LPK-1.zip</v>
      </c>
      <c r="C7" s="8" t="str">
        <f aca="false">HYPERLINK("https://mncourtfraud.com/file/27-CR-23-5751.pdf","27-CR-23-5751")</f>
        <v>27-CR-23-5751</v>
      </c>
      <c r="D7" s="3" t="s">
        <v>15</v>
      </c>
      <c r="E7" s="8" t="str">
        <f aca="false">HYPERLINK("https://mncourtfraud.com/file/MCRO_27-CR-23-5751_Demand or Request for Discovery_2023-03-27_20240430073244.pdf","MCRO_27-CR-23-5751_Demand or Request for Discovery_2023-03-27_20240430073244.pdf")</f>
        <v>MCRO_27-CR-23-5751_Demand or Request for Discovery_2023-03-27_20240430073244.pdf</v>
      </c>
      <c r="F7" s="9" t="n">
        <v>45012</v>
      </c>
      <c r="G7" s="1" t="s">
        <v>16</v>
      </c>
      <c r="H7" s="3" t="s">
        <v>17</v>
      </c>
      <c r="I7" s="3" t="s">
        <v>23</v>
      </c>
      <c r="K7" s="10"/>
      <c r="N7" s="10"/>
    </row>
    <row r="8" customFormat="false" ht="18.7" hidden="false" customHeight="true" outlineLevel="0" collapsed="false">
      <c r="A8" s="1" t="n">
        <v>7</v>
      </c>
      <c r="F8" s="9"/>
      <c r="K8" s="10"/>
      <c r="N8" s="10"/>
    </row>
    <row r="9" customFormat="false" ht="18.7" hidden="false" customHeight="true" outlineLevel="0" collapsed="false">
      <c r="A9" s="1" t="n">
        <v>8</v>
      </c>
      <c r="B9" s="7" t="str">
        <f aca="false">HYPERLINK("https://mncourtfraud.com/file/LPK-2.zip","LPK-2.zip")</f>
        <v>LPK-2.zip</v>
      </c>
      <c r="C9" s="8" t="str">
        <f aca="false">HYPERLINK("https://mncourtfraud.com/file/27-CR-21-6904.pdf","27-CR-21-6904")</f>
        <v>27-CR-21-6904</v>
      </c>
      <c r="D9" s="3" t="s">
        <v>15</v>
      </c>
      <c r="E9" s="8" t="str">
        <f aca="false">HYPERLINK("https://mncourtfraud.com/file/MCRO_27-CR-21-6904_Other Document_2021-05-05_20240430080509.pdf","MCRO_27-CR-21-6904_Other Document_2021-05-05_20240430080509.pdf")</f>
        <v>MCRO_27-CR-21-6904_Other Document_2021-05-05_20240430080509.pdf</v>
      </c>
      <c r="F9" s="9" t="n">
        <v>44321</v>
      </c>
      <c r="G9" s="1" t="s">
        <v>24</v>
      </c>
      <c r="H9" s="3" t="s">
        <v>25</v>
      </c>
      <c r="I9" s="3" t="s">
        <v>26</v>
      </c>
      <c r="K9" s="10"/>
      <c r="N9" s="10"/>
    </row>
    <row r="10" customFormat="false" ht="18.7" hidden="false" customHeight="true" outlineLevel="0" collapsed="false">
      <c r="A10" s="1" t="n">
        <v>9</v>
      </c>
      <c r="B10" s="7" t="str">
        <f aca="false">HYPERLINK("https://mncourtfraud.com/file/LPK-2.zip","LPK-2.zip")</f>
        <v>LPK-2.zip</v>
      </c>
      <c r="C10" s="8" t="str">
        <f aca="false">HYPERLINK("https://mncourtfraud.com/file/27-CR-21-8511.pdf","27-CR-21-8511")</f>
        <v>27-CR-21-8511</v>
      </c>
      <c r="D10" s="3" t="s">
        <v>15</v>
      </c>
      <c r="E10" s="8" t="str">
        <f aca="false">HYPERLINK("https://mncourtfraud.com/file/MCRO_27-CR-21-8511_Other Document_2021-05-05_20240430082028.pdf","MCRO_27-CR-21-8511_Other Document_2021-05-05_20240430082028.pdf")</f>
        <v>MCRO_27-CR-21-8511_Other Document_2021-05-05_20240430082028.pdf</v>
      </c>
      <c r="F10" s="9" t="n">
        <v>44321</v>
      </c>
      <c r="G10" s="1" t="s">
        <v>24</v>
      </c>
      <c r="H10" s="3" t="s">
        <v>25</v>
      </c>
      <c r="I10" s="3" t="s">
        <v>27</v>
      </c>
      <c r="K10" s="10"/>
      <c r="N10" s="10"/>
    </row>
    <row r="11" customFormat="false" ht="18.7" hidden="false" customHeight="true" outlineLevel="0" collapsed="false">
      <c r="A11" s="1" t="n">
        <v>10</v>
      </c>
      <c r="F11" s="9"/>
      <c r="K11" s="10"/>
      <c r="N11" s="10"/>
    </row>
    <row r="12" customFormat="false" ht="18.7" hidden="false" customHeight="true" outlineLevel="0" collapsed="false">
      <c r="A12" s="1" t="n">
        <v>11</v>
      </c>
      <c r="B12" s="7" t="str">
        <f aca="false">HYPERLINK("https://mncourtfraud.com/file/LPK-3.zip","LPK-3.zip")</f>
        <v>LPK-3.zip</v>
      </c>
      <c r="C12" s="8" t="str">
        <f aca="false">HYPERLINK("https://mncourtfraud.com/file/27-CR-21-6904.pdf","27-CR-21-6904")</f>
        <v>27-CR-21-6904</v>
      </c>
      <c r="D12" s="3" t="s">
        <v>15</v>
      </c>
      <c r="E12" s="8" t="str">
        <f aca="false">HYPERLINK("https://mncourtfraud.com/file/MCRO_27-CR-21-6904_Notice of Remote Hearing with Instructions_2021-11-09_20240430080507.pdf","MCRO_27-CR-21-6904_Notice of Remote Hearing with Instructions_2021-11-09_20240430080507.pdf")</f>
        <v>MCRO_27-CR-21-6904_Notice of Remote Hearing with Instructions_2021-11-09_20240430080507.pdf</v>
      </c>
      <c r="F12" s="9" t="n">
        <v>44509</v>
      </c>
      <c r="G12" s="1" t="s">
        <v>28</v>
      </c>
      <c r="H12" s="3" t="s">
        <v>29</v>
      </c>
      <c r="I12" s="3" t="s">
        <v>30</v>
      </c>
      <c r="K12" s="10"/>
      <c r="N12" s="10"/>
    </row>
    <row r="13" customFormat="false" ht="18.7" hidden="false" customHeight="true" outlineLevel="0" collapsed="false">
      <c r="A13" s="1" t="n">
        <v>12</v>
      </c>
      <c r="B13" s="7" t="str">
        <f aca="false">HYPERLINK("https://mncourtfraud.com/file/LPK-3.zip","LPK-3.zip")</f>
        <v>LPK-3.zip</v>
      </c>
      <c r="C13" s="8" t="str">
        <f aca="false">HYPERLINK("https://mncourtfraud.com/file/27-CR-21-8067.pdf","27-CR-21-8067")</f>
        <v>27-CR-21-8067</v>
      </c>
      <c r="D13" s="3" t="s">
        <v>15</v>
      </c>
      <c r="E13" s="8" t="str">
        <f aca="false">HYPERLINK("https://mncourtfraud.com/file/MCRO_27-CR-21-8067_Notice of Remote Hearing with Instructions_2021-11-09_20240430080650.pdf","MCRO_27-CR-21-8067_Notice of Remote Hearing with Instructions_2021-11-09_20240430080650.pdf")</f>
        <v>MCRO_27-CR-21-8067_Notice of Remote Hearing with Instructions_2021-11-09_20240430080650.pdf</v>
      </c>
      <c r="F13" s="9" t="n">
        <v>44509</v>
      </c>
      <c r="G13" s="1" t="s">
        <v>28</v>
      </c>
      <c r="H13" s="3" t="s">
        <v>29</v>
      </c>
      <c r="I13" s="3" t="s">
        <v>30</v>
      </c>
      <c r="K13" s="10"/>
      <c r="N13" s="10"/>
    </row>
    <row r="14" customFormat="false" ht="18.7" hidden="false" customHeight="true" outlineLevel="0" collapsed="false">
      <c r="A14" s="1" t="n">
        <v>13</v>
      </c>
      <c r="B14" s="7" t="str">
        <f aca="false">HYPERLINK("https://mncourtfraud.com/file/LPK-3.zip","LPK-3.zip")</f>
        <v>LPK-3.zip</v>
      </c>
      <c r="C14" s="8" t="str">
        <f aca="false">HYPERLINK("https://mncourtfraud.com/file/27-CR-21-8227.pdf","27-CR-21-8227")</f>
        <v>27-CR-21-8227</v>
      </c>
      <c r="D14" s="3" t="s">
        <v>15</v>
      </c>
      <c r="E14" s="8" t="str">
        <f aca="false">HYPERLINK("https://mncourtfraud.com/file/MCRO_27-CR-21-8227_Notice of Remote Hearing with Instructions_2021-11-09_20240430080743.pdf","MCRO_27-CR-21-8227_Notice of Remote Hearing with Instructions_2021-11-09_20240430080743.pdf")</f>
        <v>MCRO_27-CR-21-8227_Notice of Remote Hearing with Instructions_2021-11-09_20240430080743.pdf</v>
      </c>
      <c r="F14" s="9" t="n">
        <v>44509</v>
      </c>
      <c r="G14" s="1" t="s">
        <v>28</v>
      </c>
      <c r="H14" s="3" t="s">
        <v>29</v>
      </c>
      <c r="I14" s="3" t="s">
        <v>30</v>
      </c>
      <c r="K14" s="10"/>
      <c r="N14" s="10"/>
    </row>
    <row r="15" customFormat="false" ht="18.7" hidden="false" customHeight="true" outlineLevel="0" collapsed="false">
      <c r="A15" s="1" t="n">
        <v>14</v>
      </c>
      <c r="B15" s="7" t="str">
        <f aca="false">HYPERLINK("https://mncourtfraud.com/file/LPK-3.zip","LPK-3.zip")</f>
        <v>LPK-3.zip</v>
      </c>
      <c r="C15" s="8" t="str">
        <f aca="false">HYPERLINK("https://mncourtfraud.com/file/27-CR-21-8228.pdf","27-CR-21-8228")</f>
        <v>27-CR-21-8228</v>
      </c>
      <c r="D15" s="3" t="s">
        <v>15</v>
      </c>
      <c r="E15" s="8" t="str">
        <f aca="false">HYPERLINK("https://mncourtfraud.com/file/MCRO_27-CR-21-8228_Notice of Remote Hearing with Instructions_2021-11-09_20240430080836.pdf","MCRO_27-CR-21-8228_Notice of Remote Hearing with Instructions_2021-11-09_20240430080836.pdf")</f>
        <v>MCRO_27-CR-21-8228_Notice of Remote Hearing with Instructions_2021-11-09_20240430080836.pdf</v>
      </c>
      <c r="F15" s="9" t="n">
        <v>44509</v>
      </c>
      <c r="G15" s="1" t="s">
        <v>28</v>
      </c>
      <c r="H15" s="3" t="s">
        <v>29</v>
      </c>
      <c r="I15" s="3" t="s">
        <v>30</v>
      </c>
      <c r="K15" s="10"/>
      <c r="N15" s="10"/>
    </row>
    <row r="16" customFormat="false" ht="18.7" hidden="false" customHeight="true" outlineLevel="0" collapsed="false">
      <c r="A16" s="1" t="n">
        <v>15</v>
      </c>
      <c r="B16" s="7" t="str">
        <f aca="false">HYPERLINK("https://mncourtfraud.com/file/LPK-3.zip","LPK-3.zip")</f>
        <v>LPK-3.zip</v>
      </c>
      <c r="C16" s="8" t="str">
        <f aca="false">HYPERLINK("https://mncourtfraud.com/file/27-CR-21-8229.pdf","27-CR-21-8229")</f>
        <v>27-CR-21-8229</v>
      </c>
      <c r="D16" s="3" t="s">
        <v>15</v>
      </c>
      <c r="E16" s="8" t="str">
        <f aca="false">HYPERLINK("https://mncourtfraud.com/file/MCRO_27-CR-21-8229_Notice of Remote Hearing with Instructions_2021-11-09_20240430081534.pdf","MCRO_27-CR-21-8229_Notice of Remote Hearing with Instructions_2021-11-09_20240430081534.pdf")</f>
        <v>MCRO_27-CR-21-8229_Notice of Remote Hearing with Instructions_2021-11-09_20240430081534.pdf</v>
      </c>
      <c r="F16" s="9" t="n">
        <v>44509</v>
      </c>
      <c r="G16" s="1" t="s">
        <v>28</v>
      </c>
      <c r="H16" s="3" t="s">
        <v>29</v>
      </c>
      <c r="I16" s="3" t="s">
        <v>30</v>
      </c>
      <c r="K16" s="10"/>
      <c r="N16" s="10"/>
    </row>
    <row r="17" customFormat="false" ht="18.7" hidden="false" customHeight="true" outlineLevel="0" collapsed="false">
      <c r="A17" s="1" t="n">
        <v>16</v>
      </c>
      <c r="B17" s="7" t="str">
        <f aca="false">HYPERLINK("https://mncourtfraud.com/file/LPK-3.zip","LPK-3.zip")</f>
        <v>LPK-3.zip</v>
      </c>
      <c r="C17" s="8" t="str">
        <f aca="false">HYPERLINK("https://mncourtfraud.com/file/27-CR-21-8230.pdf","27-CR-21-8230")</f>
        <v>27-CR-21-8230</v>
      </c>
      <c r="D17" s="3" t="s">
        <v>15</v>
      </c>
      <c r="E17" s="8" t="str">
        <f aca="false">HYPERLINK("https://mncourtfraud.com/file/MCRO_27-CR-21-8230_Notice of Remote Hearing with Instructions_2021-11-09_20240430081651.pdf","MCRO_27-CR-21-8230_Notice of Remote Hearing with Instructions_2021-11-09_20240430081651.pdf")</f>
        <v>MCRO_27-CR-21-8230_Notice of Remote Hearing with Instructions_2021-11-09_20240430081651.pdf</v>
      </c>
      <c r="F17" s="9" t="n">
        <v>44509</v>
      </c>
      <c r="G17" s="1" t="s">
        <v>28</v>
      </c>
      <c r="H17" s="3" t="s">
        <v>29</v>
      </c>
      <c r="I17" s="3" t="s">
        <v>30</v>
      </c>
      <c r="K17" s="10"/>
      <c r="N17" s="10"/>
    </row>
    <row r="18" customFormat="false" ht="18.7" hidden="false" customHeight="true" outlineLevel="0" collapsed="false">
      <c r="A18" s="1" t="n">
        <v>17</v>
      </c>
      <c r="B18" s="7" t="str">
        <f aca="false">HYPERLINK("https://mncourtfraud.com/file/LPK-3.zip","LPK-3.zip")</f>
        <v>LPK-3.zip</v>
      </c>
      <c r="C18" s="8" t="str">
        <f aca="false">HYPERLINK("https://mncourtfraud.com/file/27-CR-21-8511.pdf","27-CR-21-8511")</f>
        <v>27-CR-21-8511</v>
      </c>
      <c r="D18" s="3" t="s">
        <v>15</v>
      </c>
      <c r="E18" s="8" t="str">
        <f aca="false">HYPERLINK("https://mncourtfraud.com/file/MCRO_27-CR-21-8511_Notice of Remote Hearing with Instructions_2021-11-09_20240430082025.pdf","MCRO_27-CR-21-8511_Notice of Remote Hearing with Instructions_2021-11-09_20240430082025.pdf")</f>
        <v>MCRO_27-CR-21-8511_Notice of Remote Hearing with Instructions_2021-11-09_20240430082025.pdf</v>
      </c>
      <c r="F18" s="9" t="n">
        <v>44509</v>
      </c>
      <c r="G18" s="1" t="s">
        <v>28</v>
      </c>
      <c r="H18" s="3" t="s">
        <v>29</v>
      </c>
      <c r="I18" s="3" t="s">
        <v>30</v>
      </c>
      <c r="K18" s="10"/>
      <c r="N18" s="10"/>
    </row>
    <row r="19" customFormat="false" ht="18.7" hidden="false" customHeight="true" outlineLevel="0" collapsed="false">
      <c r="A19" s="1" t="n">
        <v>18</v>
      </c>
      <c r="F19" s="9"/>
      <c r="K19" s="10"/>
      <c r="N19" s="10"/>
    </row>
    <row r="20" customFormat="false" ht="18.7" hidden="false" customHeight="true" outlineLevel="0" collapsed="false">
      <c r="A20" s="1" t="n">
        <v>19</v>
      </c>
      <c r="B20" s="7" t="str">
        <f aca="false">HYPERLINK("https://mncourtfraud.com/file/LPK-4.zip","LPK-4.zip")</f>
        <v>LPK-4.zip</v>
      </c>
      <c r="C20" s="8" t="str">
        <f aca="false">HYPERLINK("https://mncourtfraud.com/file/27-CR-21-6904.pdf","27-CR-21-6904")</f>
        <v>27-CR-21-6904</v>
      </c>
      <c r="D20" s="3" t="s">
        <v>15</v>
      </c>
      <c r="E20" s="8" t="str">
        <f aca="false">HYPERLINK("https://mncourtfraud.com/file/MCRO_27-CR-21-6904_Order-Evaluation for Competency to Proceed (Rule 20.01)_2022-03-23_20240430080503.pdf","MCRO_27-CR-21-6904_Order-Evaluation for Competency to Proceed (Rule 20.01)_2022-03-23_20240430080503.pdf")</f>
        <v>MCRO_27-CR-21-6904_Order-Evaluation for Competency to Proceed (Rule 20.01)_2022-03-23_20240430080503.pdf</v>
      </c>
      <c r="F20" s="9" t="n">
        <v>44643</v>
      </c>
      <c r="G20" s="1" t="s">
        <v>31</v>
      </c>
      <c r="H20" s="3" t="s">
        <v>32</v>
      </c>
      <c r="I20" s="3" t="s">
        <v>33</v>
      </c>
      <c r="K20" s="10"/>
      <c r="N20" s="10"/>
    </row>
    <row r="21" customFormat="false" ht="18.7" hidden="false" customHeight="true" outlineLevel="0" collapsed="false">
      <c r="A21" s="1" t="n">
        <v>20</v>
      </c>
      <c r="B21" s="7" t="str">
        <f aca="false">HYPERLINK("https://mncourtfraud.com/file/LPK-4.zip","LPK-4.zip")</f>
        <v>LPK-4.zip</v>
      </c>
      <c r="C21" s="8" t="str">
        <f aca="false">HYPERLINK("https://mncourtfraud.com/file/27-CR-21-8067.pdf","27-CR-21-8067")</f>
        <v>27-CR-21-8067</v>
      </c>
      <c r="D21" s="3" t="s">
        <v>15</v>
      </c>
      <c r="E21" s="8" t="str">
        <f aca="false">HYPERLINK("https://mncourtfraud.com/file/MCRO_27-CR-21-8067_Order-Evaluation for Competency to Proceed (Rule 20.01)_2022-03-23_20240430080647.pdf","MCRO_27-CR-21-8067_Order-Evaluation for Competency to Proceed (Rule 20.01)_2022-03-23_20240430080647.pdf")</f>
        <v>MCRO_27-CR-21-8067_Order-Evaluation for Competency to Proceed (Rule 20.01)_2022-03-23_20240430080647.pdf</v>
      </c>
      <c r="F21" s="9" t="n">
        <v>44643</v>
      </c>
      <c r="G21" s="1" t="s">
        <v>31</v>
      </c>
      <c r="H21" s="3" t="s">
        <v>32</v>
      </c>
      <c r="I21" s="3" t="s">
        <v>34</v>
      </c>
      <c r="K21" s="10"/>
      <c r="N21" s="10"/>
    </row>
    <row r="22" customFormat="false" ht="18.7" hidden="false" customHeight="true" outlineLevel="0" collapsed="false">
      <c r="A22" s="1" t="n">
        <v>21</v>
      </c>
      <c r="B22" s="7" t="str">
        <f aca="false">HYPERLINK("https://mncourtfraud.com/file/LPK-4.zip","LPK-4.zip")</f>
        <v>LPK-4.zip</v>
      </c>
      <c r="C22" s="8" t="str">
        <f aca="false">HYPERLINK("https://mncourtfraud.com/file/27-CR-21-8227.pdf","27-CR-21-8227")</f>
        <v>27-CR-21-8227</v>
      </c>
      <c r="D22" s="3" t="s">
        <v>15</v>
      </c>
      <c r="E22" s="8" t="str">
        <f aca="false">HYPERLINK("https://mncourtfraud.com/file/MCRO_27-CR-21-8227_Order-Evaluation for Competency to Proceed (Rule 20.01)_2022-03-23_20240430080740.pdf","MCRO_27-CR-21-8227_Order-Evaluation for Competency to Proceed (Rule 20.01)_2022-03-23_20240430080740.pdf")</f>
        <v>MCRO_27-CR-21-8227_Order-Evaluation for Competency to Proceed (Rule 20.01)_2022-03-23_20240430080740.pdf</v>
      </c>
      <c r="F22" s="9" t="n">
        <v>44643</v>
      </c>
      <c r="G22" s="1" t="s">
        <v>31</v>
      </c>
      <c r="H22" s="3" t="s">
        <v>32</v>
      </c>
      <c r="I22" s="3" t="s">
        <v>35</v>
      </c>
      <c r="K22" s="10"/>
      <c r="N22" s="10"/>
    </row>
    <row r="23" customFormat="false" ht="18.7" hidden="false" customHeight="true" outlineLevel="0" collapsed="false">
      <c r="A23" s="1" t="n">
        <v>22</v>
      </c>
      <c r="B23" s="7" t="str">
        <f aca="false">HYPERLINK("https://mncourtfraud.com/file/LPK-4.zip","LPK-4.zip")</f>
        <v>LPK-4.zip</v>
      </c>
      <c r="C23" s="8" t="str">
        <f aca="false">HYPERLINK("https://mncourtfraud.com/file/27-CR-21-8228.pdf","27-CR-21-8228")</f>
        <v>27-CR-21-8228</v>
      </c>
      <c r="D23" s="3" t="s">
        <v>15</v>
      </c>
      <c r="E23" s="8" t="str">
        <f aca="false">HYPERLINK("https://mncourtfraud.com/file/MCRO_27-CR-21-8228_Order-Evaluation for Competency to Proceed (Rule 20.01)_2022-03-23_20240430080833.pdf","MCRO_27-CR-21-8228_Order-Evaluation for Competency to Proceed (Rule 20.01)_2022-03-23_20240430080833.pdf")</f>
        <v>MCRO_27-CR-21-8228_Order-Evaluation for Competency to Proceed (Rule 20.01)_2022-03-23_20240430080833.pdf</v>
      </c>
      <c r="F23" s="9" t="n">
        <v>44643</v>
      </c>
      <c r="G23" s="1" t="s">
        <v>31</v>
      </c>
      <c r="H23" s="3" t="s">
        <v>32</v>
      </c>
      <c r="I23" s="3" t="s">
        <v>36</v>
      </c>
      <c r="K23" s="10"/>
      <c r="N23" s="10"/>
    </row>
    <row r="24" customFormat="false" ht="18.7" hidden="false" customHeight="true" outlineLevel="0" collapsed="false">
      <c r="A24" s="1" t="n">
        <v>23</v>
      </c>
      <c r="B24" s="7" t="str">
        <f aca="false">HYPERLINK("https://mncourtfraud.com/file/LPK-4.zip","LPK-4.zip")</f>
        <v>LPK-4.zip</v>
      </c>
      <c r="C24" s="8" t="str">
        <f aca="false">HYPERLINK("https://mncourtfraud.com/file/27-CR-21-8229.pdf","27-CR-21-8229")</f>
        <v>27-CR-21-8229</v>
      </c>
      <c r="D24" s="3" t="s">
        <v>15</v>
      </c>
      <c r="E24" s="8" t="str">
        <f aca="false">HYPERLINK("https://mncourtfraud.com/file/MCRO_27-CR-21-8229_Order-Evaluation for Competency to Proceed (Rule 20.01)_2022-03-23_20240430081531.pdf","MCRO_27-CR-21-8229_Order-Evaluation for Competency to Proceed (Rule 20.01)_2022-03-23_20240430081531.pdf")</f>
        <v>MCRO_27-CR-21-8229_Order-Evaluation for Competency to Proceed (Rule 20.01)_2022-03-23_20240430081531.pdf</v>
      </c>
      <c r="F24" s="9" t="n">
        <v>44643</v>
      </c>
      <c r="G24" s="1" t="s">
        <v>31</v>
      </c>
      <c r="H24" s="3" t="s">
        <v>32</v>
      </c>
      <c r="I24" s="3" t="s">
        <v>37</v>
      </c>
      <c r="K24" s="10"/>
      <c r="N24" s="10"/>
    </row>
    <row r="25" customFormat="false" ht="18.7" hidden="false" customHeight="true" outlineLevel="0" collapsed="false">
      <c r="A25" s="1" t="n">
        <v>24</v>
      </c>
      <c r="B25" s="7" t="str">
        <f aca="false">HYPERLINK("https://mncourtfraud.com/file/LPK-4.zip","LPK-4.zip")</f>
        <v>LPK-4.zip</v>
      </c>
      <c r="C25" s="8" t="str">
        <f aca="false">HYPERLINK("https://mncourtfraud.com/file/27-CR-21-8230.pdf","27-CR-21-8230")</f>
        <v>27-CR-21-8230</v>
      </c>
      <c r="D25" s="3" t="s">
        <v>15</v>
      </c>
      <c r="E25" s="8" t="str">
        <f aca="false">HYPERLINK("https://mncourtfraud.com/file/MCRO_27-CR-21-8230_Order-Evaluation for Competency to Proceed (Rule 20.01)_2022-03-23_20240430081648.pdf","MCRO_27-CR-21-8230_Order-Evaluation for Competency to Proceed (Rule 20.01)_2022-03-23_20240430081648.pdf")</f>
        <v>MCRO_27-CR-21-8230_Order-Evaluation for Competency to Proceed (Rule 20.01)_2022-03-23_20240430081648.pdf</v>
      </c>
      <c r="F25" s="9" t="n">
        <v>44643</v>
      </c>
      <c r="G25" s="1" t="s">
        <v>31</v>
      </c>
      <c r="H25" s="3" t="s">
        <v>32</v>
      </c>
      <c r="I25" s="3" t="s">
        <v>38</v>
      </c>
      <c r="K25" s="10"/>
      <c r="N25" s="10"/>
    </row>
    <row r="26" customFormat="false" ht="18.7" hidden="false" customHeight="true" outlineLevel="0" collapsed="false">
      <c r="A26" s="1" t="n">
        <v>25</v>
      </c>
      <c r="B26" s="7" t="str">
        <f aca="false">HYPERLINK("https://mncourtfraud.com/file/LPK-4.zip","LPK-4.zip")</f>
        <v>LPK-4.zip</v>
      </c>
      <c r="C26" s="8" t="str">
        <f aca="false">HYPERLINK("https://mncourtfraud.com/file/27-CR-21-8511.pdf","27-CR-21-8511")</f>
        <v>27-CR-21-8511</v>
      </c>
      <c r="D26" s="3" t="s">
        <v>15</v>
      </c>
      <c r="E26" s="8" t="str">
        <f aca="false">HYPERLINK("https://mncourtfraud.com/file/MCRO_27-CR-21-8511_Order-Evaluation for Competency to Proceed (Rule 20.01)_2022-03-23_20240430082022.pdf","MCRO_27-CR-21-8511_Order-Evaluation for Competency to Proceed (Rule 20.01)_2022-03-23_20240430082022.pdf")</f>
        <v>MCRO_27-CR-21-8511_Order-Evaluation for Competency to Proceed (Rule 20.01)_2022-03-23_20240430082022.pdf</v>
      </c>
      <c r="F26" s="9" t="n">
        <v>44643</v>
      </c>
      <c r="G26" s="1" t="s">
        <v>31</v>
      </c>
      <c r="H26" s="3" t="s">
        <v>32</v>
      </c>
      <c r="I26" s="3" t="s">
        <v>39</v>
      </c>
      <c r="K26" s="10"/>
      <c r="N26" s="10"/>
    </row>
    <row r="27" customFormat="false" ht="18.7" hidden="false" customHeight="true" outlineLevel="0" collapsed="false">
      <c r="A27" s="1" t="n">
        <v>26</v>
      </c>
      <c r="F27" s="9"/>
      <c r="K27" s="10"/>
      <c r="N27" s="10"/>
    </row>
    <row r="28" customFormat="false" ht="18.7" hidden="false" customHeight="true" outlineLevel="0" collapsed="false">
      <c r="A28" s="1" t="n">
        <v>27</v>
      </c>
      <c r="B28" s="7" t="str">
        <f aca="false">HYPERLINK("https://mncourtfraud.com/file/LPK-5.zip","LPK-5.zip")</f>
        <v>LPK-5.zip</v>
      </c>
      <c r="C28" s="8" t="str">
        <f aca="false">HYPERLINK("https://mncourtfraud.com/file/27-CR-21-6904.pdf","27-CR-21-6904")</f>
        <v>27-CR-21-6904</v>
      </c>
      <c r="D28" s="3" t="s">
        <v>15</v>
      </c>
      <c r="E28" s="8" t="str">
        <f aca="false">HYPERLINK("https://mncourtfraud.com/file/MCRO_27-CR-21-6904_Findings and Order_2022-06-14_20240430080501.pdf","MCRO_27-CR-21-6904_Findings and Order_2022-06-14_20240430080501.pdf")</f>
        <v>MCRO_27-CR-21-6904_Findings and Order_2022-06-14_20240430080501.pdf</v>
      </c>
      <c r="F28" s="9" t="n">
        <v>44726</v>
      </c>
      <c r="G28" s="1" t="s">
        <v>40</v>
      </c>
      <c r="H28" s="3" t="s">
        <v>41</v>
      </c>
      <c r="I28" s="3" t="s">
        <v>42</v>
      </c>
      <c r="J28" s="3" t="s">
        <v>43</v>
      </c>
      <c r="K28" s="10" t="s">
        <v>44</v>
      </c>
      <c r="L28" s="3" t="s">
        <v>45</v>
      </c>
      <c r="N28" s="10"/>
    </row>
    <row r="29" customFormat="false" ht="18.7" hidden="false" customHeight="true" outlineLevel="0" collapsed="false">
      <c r="A29" s="1" t="n">
        <v>28</v>
      </c>
      <c r="B29" s="7" t="str">
        <f aca="false">HYPERLINK("https://mncourtfraud.com/file/LPK-5.zip","LPK-5.zip")</f>
        <v>LPK-5.zip</v>
      </c>
      <c r="C29" s="8" t="str">
        <f aca="false">HYPERLINK("https://mncourtfraud.com/file/27-CR-21-8067.pdf","27-CR-21-8067")</f>
        <v>27-CR-21-8067</v>
      </c>
      <c r="D29" s="3" t="s">
        <v>15</v>
      </c>
      <c r="E29" s="8" t="str">
        <f aca="false">HYPERLINK("https://mncourtfraud.com/file/MCRO_27-CR-21-8067_Findings and Order_2022-06-14_20240430080645.pdf","MCRO_27-CR-21-8067_Findings and Order_2022-06-14_20240430080645.pdf")</f>
        <v>MCRO_27-CR-21-8067_Findings and Order_2022-06-14_20240430080645.pdf</v>
      </c>
      <c r="F29" s="9" t="n">
        <v>44726</v>
      </c>
      <c r="G29" s="1" t="s">
        <v>40</v>
      </c>
      <c r="H29" s="3" t="s">
        <v>41</v>
      </c>
      <c r="I29" s="3" t="s">
        <v>42</v>
      </c>
      <c r="J29" s="3" t="s">
        <v>43</v>
      </c>
      <c r="K29" s="10" t="s">
        <v>44</v>
      </c>
      <c r="L29" s="3" t="s">
        <v>45</v>
      </c>
      <c r="N29" s="10"/>
    </row>
    <row r="30" customFormat="false" ht="18.7" hidden="false" customHeight="true" outlineLevel="0" collapsed="false">
      <c r="A30" s="1" t="n">
        <v>29</v>
      </c>
      <c r="B30" s="7" t="str">
        <f aca="false">HYPERLINK("https://mncourtfraud.com/file/LPK-5.zip","LPK-5.zip")</f>
        <v>LPK-5.zip</v>
      </c>
      <c r="C30" s="8" t="str">
        <f aca="false">HYPERLINK("https://mncourtfraud.com/file/27-CR-21-8227.pdf","27-CR-21-8227")</f>
        <v>27-CR-21-8227</v>
      </c>
      <c r="D30" s="3" t="s">
        <v>15</v>
      </c>
      <c r="E30" s="8" t="str">
        <f aca="false">HYPERLINK("https://mncourtfraud.com/file/MCRO_27-CR-21-8227_Findings and Order_2022-06-14_20240430080738.pdf","MCRO_27-CR-21-8227_Findings and Order_2022-06-14_20240430080738.pdf")</f>
        <v>MCRO_27-CR-21-8227_Findings and Order_2022-06-14_20240430080738.pdf</v>
      </c>
      <c r="F30" s="9" t="n">
        <v>44726</v>
      </c>
      <c r="G30" s="1" t="s">
        <v>40</v>
      </c>
      <c r="H30" s="3" t="s">
        <v>41</v>
      </c>
      <c r="I30" s="3" t="s">
        <v>42</v>
      </c>
      <c r="J30" s="3" t="s">
        <v>43</v>
      </c>
      <c r="K30" s="10" t="s">
        <v>44</v>
      </c>
      <c r="L30" s="3" t="s">
        <v>45</v>
      </c>
      <c r="N30" s="10"/>
    </row>
    <row r="31" customFormat="false" ht="18.7" hidden="false" customHeight="true" outlineLevel="0" collapsed="false">
      <c r="A31" s="1" t="n">
        <v>30</v>
      </c>
      <c r="B31" s="7" t="str">
        <f aca="false">HYPERLINK("https://mncourtfraud.com/file/LPK-5.zip","LPK-5.zip")</f>
        <v>LPK-5.zip</v>
      </c>
      <c r="C31" s="8" t="str">
        <f aca="false">HYPERLINK("https://mncourtfraud.com/file/27-CR-21-8228.pdf","27-CR-21-8228")</f>
        <v>27-CR-21-8228</v>
      </c>
      <c r="D31" s="3" t="s">
        <v>15</v>
      </c>
      <c r="E31" s="8" t="str">
        <f aca="false">HYPERLINK("https://mncourtfraud.com/file/MCRO_27-CR-21-8228_Findings and Order_2022-06-14_20240430080831.pdf","MCRO_27-CR-21-8228_Findings and Order_2022-06-14_20240430080831.pdf")</f>
        <v>MCRO_27-CR-21-8228_Findings and Order_2022-06-14_20240430080831.pdf</v>
      </c>
      <c r="F31" s="9" t="n">
        <v>44726</v>
      </c>
      <c r="G31" s="1" t="s">
        <v>40</v>
      </c>
      <c r="H31" s="3" t="s">
        <v>41</v>
      </c>
      <c r="I31" s="3" t="s">
        <v>42</v>
      </c>
      <c r="J31" s="3" t="s">
        <v>43</v>
      </c>
      <c r="K31" s="10" t="s">
        <v>44</v>
      </c>
      <c r="L31" s="3" t="s">
        <v>45</v>
      </c>
      <c r="N31" s="10"/>
    </row>
    <row r="32" customFormat="false" ht="18.7" hidden="false" customHeight="true" outlineLevel="0" collapsed="false">
      <c r="A32" s="1" t="n">
        <v>31</v>
      </c>
      <c r="B32" s="7" t="str">
        <f aca="false">HYPERLINK("https://mncourtfraud.com/file/LPK-5.zip","LPK-5.zip")</f>
        <v>LPK-5.zip</v>
      </c>
      <c r="C32" s="8" t="str">
        <f aca="false">HYPERLINK("https://mncourtfraud.com/file/27-CR-21-8229.pdf","27-CR-21-8229")</f>
        <v>27-CR-21-8229</v>
      </c>
      <c r="D32" s="3" t="s">
        <v>15</v>
      </c>
      <c r="E32" s="8" t="str">
        <f aca="false">HYPERLINK("https://mncourtfraud.com/file/MCRO_27-CR-21-8229_Findings and Order_2022-06-14_20240430081529.pdf","MCRO_27-CR-21-8229_Findings and Order_2022-06-14_20240430081529.pdf")</f>
        <v>MCRO_27-CR-21-8229_Findings and Order_2022-06-14_20240430081529.pdf</v>
      </c>
      <c r="F32" s="9" t="n">
        <v>44726</v>
      </c>
      <c r="G32" s="1" t="s">
        <v>40</v>
      </c>
      <c r="H32" s="3" t="s">
        <v>41</v>
      </c>
      <c r="I32" s="3" t="s">
        <v>42</v>
      </c>
      <c r="J32" s="3" t="s">
        <v>43</v>
      </c>
      <c r="K32" s="10" t="s">
        <v>44</v>
      </c>
      <c r="L32" s="3" t="s">
        <v>45</v>
      </c>
      <c r="N32" s="10"/>
    </row>
    <row r="33" customFormat="false" ht="18.7" hidden="false" customHeight="true" outlineLevel="0" collapsed="false">
      <c r="A33" s="1" t="n">
        <v>32</v>
      </c>
      <c r="B33" s="7" t="str">
        <f aca="false">HYPERLINK("https://mncourtfraud.com/file/LPK-5.zip","LPK-5.zip")</f>
        <v>LPK-5.zip</v>
      </c>
      <c r="C33" s="8" t="str">
        <f aca="false">HYPERLINK("https://mncourtfraud.com/file/27-CR-21-8230.pdf","27-CR-21-8230")</f>
        <v>27-CR-21-8230</v>
      </c>
      <c r="D33" s="3" t="s">
        <v>15</v>
      </c>
      <c r="E33" s="8" t="str">
        <f aca="false">HYPERLINK("https://mncourtfraud.com/file/MCRO_27-CR-21-8230_Findings and Order_2022-06-14_20240430081646.pdf","MCRO_27-CR-21-8230_Findings and Order_2022-06-14_20240430081646.pdf")</f>
        <v>MCRO_27-CR-21-8230_Findings and Order_2022-06-14_20240430081646.pdf</v>
      </c>
      <c r="F33" s="9" t="n">
        <v>44726</v>
      </c>
      <c r="G33" s="1" t="s">
        <v>40</v>
      </c>
      <c r="H33" s="3" t="s">
        <v>41</v>
      </c>
      <c r="I33" s="3" t="s">
        <v>42</v>
      </c>
      <c r="J33" s="3" t="s">
        <v>43</v>
      </c>
      <c r="K33" s="10" t="s">
        <v>44</v>
      </c>
      <c r="L33" s="3" t="s">
        <v>45</v>
      </c>
      <c r="N33" s="10"/>
    </row>
    <row r="34" customFormat="false" ht="18.7" hidden="false" customHeight="true" outlineLevel="0" collapsed="false">
      <c r="A34" s="1" t="n">
        <v>33</v>
      </c>
      <c r="B34" s="7" t="str">
        <f aca="false">HYPERLINK("https://mncourtfraud.com/file/LPK-5.zip","LPK-5.zip")</f>
        <v>LPK-5.zip</v>
      </c>
      <c r="C34" s="8" t="str">
        <f aca="false">HYPERLINK("https://mncourtfraud.com/file/27-CR-21-8511.pdf","27-CR-21-8511")</f>
        <v>27-CR-21-8511</v>
      </c>
      <c r="D34" s="3" t="s">
        <v>15</v>
      </c>
      <c r="E34" s="8" t="str">
        <f aca="false">HYPERLINK("https://mncourtfraud.com/file/MCRO_27-CR-21-8511_Findings and Order_2022-06-14_20240430082020.pdf","MCRO_27-CR-21-8511_Findings and Order_2022-06-14_20240430082020.pdf")</f>
        <v>MCRO_27-CR-21-8511_Findings and Order_2022-06-14_20240430082020.pdf</v>
      </c>
      <c r="F34" s="9" t="n">
        <v>44726</v>
      </c>
      <c r="G34" s="1" t="s">
        <v>40</v>
      </c>
      <c r="H34" s="3" t="s">
        <v>41</v>
      </c>
      <c r="I34" s="3" t="s">
        <v>42</v>
      </c>
      <c r="J34" s="3" t="s">
        <v>43</v>
      </c>
      <c r="K34" s="10" t="s">
        <v>44</v>
      </c>
      <c r="L34" s="3" t="s">
        <v>45</v>
      </c>
      <c r="N34" s="10"/>
    </row>
    <row r="35" customFormat="false" ht="18.7" hidden="false" customHeight="true" outlineLevel="0" collapsed="false">
      <c r="A35" s="1" t="n">
        <v>34</v>
      </c>
      <c r="F35" s="9"/>
      <c r="K35" s="10"/>
      <c r="N35" s="10"/>
    </row>
    <row r="36" customFormat="false" ht="18.7" hidden="false" customHeight="true" outlineLevel="0" collapsed="false">
      <c r="A36" s="1" t="n">
        <v>35</v>
      </c>
      <c r="B36" s="7" t="str">
        <f aca="false">HYPERLINK("https://mncourtfraud.com/file/LPK-6.zip","LPK-6.zip")</f>
        <v>LPK-6.zip</v>
      </c>
      <c r="C36" s="8" t="str">
        <f aca="false">HYPERLINK("https://mncourtfraud.com/file/27-CR-21-6904.pdf","27-CR-21-6904")</f>
        <v>27-CR-21-6904</v>
      </c>
      <c r="D36" s="3" t="s">
        <v>15</v>
      </c>
      <c r="E36" s="8" t="str">
        <f aca="false">HYPERLINK("https://mncourtfraud.com/file/MCRO_27-CR-21-6904_Order-Evaluation for Competency to Proceed (Rule 20.01)_2022-10-06_20240430080459.pdf","MCRO_27-CR-21-6904_Order-Evaluation for Competency to Proceed (Rule 20.01)_2022-10-06_20240430080459.pdf")</f>
        <v>MCRO_27-CR-21-6904_Order-Evaluation for Competency to Proceed (Rule 20.01)_2022-10-06_20240430080459.pdf</v>
      </c>
      <c r="F36" s="9" t="n">
        <v>44840</v>
      </c>
      <c r="G36" s="1" t="s">
        <v>46</v>
      </c>
      <c r="H36" s="3" t="s">
        <v>47</v>
      </c>
      <c r="I36" s="3" t="s">
        <v>48</v>
      </c>
      <c r="K36" s="10"/>
      <c r="N36" s="10"/>
    </row>
    <row r="37" customFormat="false" ht="18.7" hidden="false" customHeight="true" outlineLevel="0" collapsed="false">
      <c r="A37" s="1" t="n">
        <v>36</v>
      </c>
      <c r="B37" s="7" t="str">
        <f aca="false">HYPERLINK("https://mncourtfraud.com/file/LPK-6.zip","LPK-6.zip")</f>
        <v>LPK-6.zip</v>
      </c>
      <c r="C37" s="8" t="str">
        <f aca="false">HYPERLINK("https://mncourtfraud.com/file/27-CR-21-8067.pdf","27-CR-21-8067")</f>
        <v>27-CR-21-8067</v>
      </c>
      <c r="D37" s="3" t="s">
        <v>15</v>
      </c>
      <c r="E37" s="8" t="str">
        <f aca="false">HYPERLINK("https://mncourtfraud.com/file/MCRO_27-CR-21-8067_Order-Evaluation for Competency to Proceed (Rule 20.01)_2022-10-06_20240430080644.pdf","MCRO_27-CR-21-8067_Order-Evaluation for Competency to Proceed (Rule 20.01)_2022-10-06_20240430080644.pdf")</f>
        <v>MCRO_27-CR-21-8067_Order-Evaluation for Competency to Proceed (Rule 20.01)_2022-10-06_20240430080644.pdf</v>
      </c>
      <c r="F37" s="9" t="n">
        <v>44840</v>
      </c>
      <c r="G37" s="1" t="s">
        <v>46</v>
      </c>
      <c r="H37" s="3" t="s">
        <v>47</v>
      </c>
      <c r="I37" s="3" t="s">
        <v>48</v>
      </c>
      <c r="K37" s="10"/>
      <c r="N37" s="10"/>
    </row>
    <row r="38" customFormat="false" ht="18.7" hidden="false" customHeight="true" outlineLevel="0" collapsed="false">
      <c r="A38" s="1" t="n">
        <v>37</v>
      </c>
      <c r="B38" s="7" t="str">
        <f aca="false">HYPERLINK("https://mncourtfraud.com/file/LPK-6.zip","LPK-6.zip")</f>
        <v>LPK-6.zip</v>
      </c>
      <c r="C38" s="8" t="str">
        <f aca="false">HYPERLINK("https://mncourtfraud.com/file/27-CR-21-8227.pdf","27-CR-21-8227")</f>
        <v>27-CR-21-8227</v>
      </c>
      <c r="D38" s="3" t="s">
        <v>15</v>
      </c>
      <c r="E38" s="8" t="str">
        <f aca="false">HYPERLINK("https://mncourtfraud.com/file/MCRO_27-CR-21-8227_Order-Evaluation for Competency to Proceed (Rule 20.01)_2022-10-06_20240430080737.pdf","MCRO_27-CR-21-8227_Order-Evaluation for Competency to Proceed (Rule 20.01)_2022-10-06_20240430080737.pdf")</f>
        <v>MCRO_27-CR-21-8227_Order-Evaluation for Competency to Proceed (Rule 20.01)_2022-10-06_20240430080737.pdf</v>
      </c>
      <c r="F38" s="9" t="n">
        <v>44840</v>
      </c>
      <c r="G38" s="1" t="s">
        <v>46</v>
      </c>
      <c r="H38" s="3" t="s">
        <v>47</v>
      </c>
      <c r="I38" s="3" t="s">
        <v>48</v>
      </c>
      <c r="K38" s="10"/>
      <c r="N38" s="10"/>
    </row>
    <row r="39" customFormat="false" ht="18.7" hidden="false" customHeight="true" outlineLevel="0" collapsed="false">
      <c r="A39" s="1" t="n">
        <v>38</v>
      </c>
      <c r="B39" s="7" t="str">
        <f aca="false">HYPERLINK("https://mncourtfraud.com/file/LPK-6.zip","LPK-6.zip")</f>
        <v>LPK-6.zip</v>
      </c>
      <c r="C39" s="8" t="str">
        <f aca="false">HYPERLINK("https://mncourtfraud.com/file/27-CR-21-8228.pdf","27-CR-21-8228")</f>
        <v>27-CR-21-8228</v>
      </c>
      <c r="D39" s="3" t="s">
        <v>15</v>
      </c>
      <c r="E39" s="8" t="str">
        <f aca="false">HYPERLINK("https://mncourtfraud.com/file/MCRO_27-CR-21-8228_Order-Evaluation for Competency to Proceed (Rule 20.01)_2022-10-06_20240430080830.pdf","MCRO_27-CR-21-8228_Order-Evaluation for Competency to Proceed (Rule 20.01)_2022-10-06_20240430080830.pdf")</f>
        <v>MCRO_27-CR-21-8228_Order-Evaluation for Competency to Proceed (Rule 20.01)_2022-10-06_20240430080830.pdf</v>
      </c>
      <c r="F39" s="9" t="n">
        <v>44840</v>
      </c>
      <c r="G39" s="1" t="s">
        <v>46</v>
      </c>
      <c r="H39" s="3" t="s">
        <v>47</v>
      </c>
      <c r="I39" s="3" t="s">
        <v>48</v>
      </c>
      <c r="K39" s="10"/>
      <c r="N39" s="10"/>
    </row>
    <row r="40" customFormat="false" ht="18.7" hidden="false" customHeight="true" outlineLevel="0" collapsed="false">
      <c r="A40" s="1" t="n">
        <v>39</v>
      </c>
      <c r="B40" s="7" t="str">
        <f aca="false">HYPERLINK("https://mncourtfraud.com/file/LPK-6.zip","LPK-6.zip")</f>
        <v>LPK-6.zip</v>
      </c>
      <c r="C40" s="8" t="str">
        <f aca="false">HYPERLINK("https://mncourtfraud.com/file/27-CR-21-8229.pdf","27-CR-21-8229")</f>
        <v>27-CR-21-8229</v>
      </c>
      <c r="D40" s="3" t="s">
        <v>15</v>
      </c>
      <c r="E40" s="8" t="str">
        <f aca="false">HYPERLINK("https://mncourtfraud.com/file/MCRO_27-CR-21-8229_Order-Evaluation for Competency to Proceed (Rule 20.01)_2022-10-06_20240430081527.pdf","MCRO_27-CR-21-8229_Order-Evaluation for Competency to Proceed (Rule 20.01)_2022-10-06_20240430081527.pdf")</f>
        <v>MCRO_27-CR-21-8229_Order-Evaluation for Competency to Proceed (Rule 20.01)_2022-10-06_20240430081527.pdf</v>
      </c>
      <c r="F40" s="9" t="n">
        <v>44840</v>
      </c>
      <c r="G40" s="1" t="s">
        <v>46</v>
      </c>
      <c r="H40" s="3" t="s">
        <v>47</v>
      </c>
      <c r="I40" s="3" t="s">
        <v>48</v>
      </c>
      <c r="K40" s="10"/>
      <c r="N40" s="10"/>
    </row>
    <row r="41" customFormat="false" ht="18.7" hidden="false" customHeight="true" outlineLevel="0" collapsed="false">
      <c r="A41" s="1" t="n">
        <v>40</v>
      </c>
      <c r="B41" s="7" t="str">
        <f aca="false">HYPERLINK("https://mncourtfraud.com/file/LPK-6.zip","LPK-6.zip")</f>
        <v>LPK-6.zip</v>
      </c>
      <c r="C41" s="8" t="str">
        <f aca="false">HYPERLINK("https://mncourtfraud.com/file/27-CR-21-8230.pdf","27-CR-21-8230")</f>
        <v>27-CR-21-8230</v>
      </c>
      <c r="D41" s="3" t="s">
        <v>15</v>
      </c>
      <c r="E41" s="8" t="str">
        <f aca="false">HYPERLINK("https://mncourtfraud.com/file/MCRO_27-CR-21-8230_Order-Evaluation for Competency to Proceed (Rule 20.01)_2022-10-06_20240430081645.pdf","MCRO_27-CR-21-8230_Order-Evaluation for Competency to Proceed (Rule 20.01)_2022-10-06_20240430081645.pdf")</f>
        <v>MCRO_27-CR-21-8230_Order-Evaluation for Competency to Proceed (Rule 20.01)_2022-10-06_20240430081645.pdf</v>
      </c>
      <c r="F41" s="9" t="n">
        <v>44840</v>
      </c>
      <c r="G41" s="1" t="s">
        <v>46</v>
      </c>
      <c r="H41" s="3" t="s">
        <v>47</v>
      </c>
      <c r="I41" s="3" t="s">
        <v>48</v>
      </c>
      <c r="K41" s="10"/>
      <c r="N41" s="10"/>
    </row>
    <row r="42" customFormat="false" ht="18.7" hidden="false" customHeight="true" outlineLevel="0" collapsed="false">
      <c r="A42" s="1" t="n">
        <v>41</v>
      </c>
      <c r="B42" s="7" t="str">
        <f aca="false">HYPERLINK("https://mncourtfraud.com/file/LPK-6.zip","LPK-6.zip")</f>
        <v>LPK-6.zip</v>
      </c>
      <c r="C42" s="8" t="str">
        <f aca="false">HYPERLINK("https://mncourtfraud.com/file/27-CR-21-8511.pdf","27-CR-21-8511")</f>
        <v>27-CR-21-8511</v>
      </c>
      <c r="D42" s="3" t="s">
        <v>15</v>
      </c>
      <c r="E42" s="8" t="str">
        <f aca="false">HYPERLINK("https://mncourtfraud.com/file/MCRO_27-CR-21-8511_Order-Evaluation for Competency to Proceed (Rule 20.01)_2022-10-06_20240430082018.pdf","MCRO_27-CR-21-8511_Order-Evaluation for Competency to Proceed (Rule 20.01)_2022-10-06_20240430082018.pdf")</f>
        <v>MCRO_27-CR-21-8511_Order-Evaluation for Competency to Proceed (Rule 20.01)_2022-10-06_20240430082018.pdf</v>
      </c>
      <c r="F42" s="9" t="n">
        <v>44840</v>
      </c>
      <c r="G42" s="1" t="s">
        <v>46</v>
      </c>
      <c r="H42" s="3" t="s">
        <v>47</v>
      </c>
      <c r="I42" s="3" t="s">
        <v>48</v>
      </c>
      <c r="K42" s="10"/>
      <c r="N42" s="10"/>
    </row>
    <row r="43" customFormat="false" ht="18.7" hidden="false" customHeight="true" outlineLevel="0" collapsed="false">
      <c r="A43" s="1" t="n">
        <v>42</v>
      </c>
      <c r="B43" s="7" t="str">
        <f aca="false">HYPERLINK("https://mncourtfraud.com/file/LPK-6.zip","LPK-6.zip")</f>
        <v>LPK-6.zip</v>
      </c>
      <c r="C43" s="8" t="str">
        <f aca="false">HYPERLINK("https://mncourtfraud.com/file/27-CR-22-17300.pdf","27-CR-22-17300")</f>
        <v>27-CR-22-17300</v>
      </c>
      <c r="D43" s="3" t="s">
        <v>15</v>
      </c>
      <c r="E43" s="8" t="str">
        <f aca="false">HYPERLINK("https://mncourtfraud.com/file/MCRO_27-CR-22-17300_Order-Evaluation for Competency to Proceed (Rule 20.01)_2022-10-06_20240429162006.pdf","MCRO_27-CR-22-17300_Order-Evaluation for Competency to Proceed (Rule 20.01)_2022-10-06_20240429162006.pdf")</f>
        <v>MCRO_27-CR-22-17300_Order-Evaluation for Competency to Proceed (Rule 20.01)_2022-10-06_20240429162006.pdf</v>
      </c>
      <c r="F43" s="9" t="n">
        <v>44840</v>
      </c>
      <c r="G43" s="1" t="s">
        <v>46</v>
      </c>
      <c r="H43" s="3" t="s">
        <v>47</v>
      </c>
      <c r="I43" s="3" t="s">
        <v>48</v>
      </c>
      <c r="K43" s="10"/>
      <c r="N43" s="10"/>
    </row>
    <row r="44" customFormat="false" ht="18.7" hidden="false" customHeight="true" outlineLevel="0" collapsed="false">
      <c r="A44" s="1" t="n">
        <v>43</v>
      </c>
      <c r="F44" s="9"/>
      <c r="K44" s="10"/>
      <c r="N44" s="10"/>
    </row>
    <row r="45" customFormat="false" ht="18.7" hidden="false" customHeight="true" outlineLevel="0" collapsed="false">
      <c r="A45" s="1" t="n">
        <v>44</v>
      </c>
      <c r="B45" s="7" t="str">
        <f aca="false">HYPERLINK("https://mncourtfraud.com/file/LPK-7.zip","LPK-7.zip")</f>
        <v>LPK-7.zip</v>
      </c>
      <c r="C45" s="8" t="str">
        <f aca="false">HYPERLINK("https://mncourtfraud.com/file/27-CR-21-6904.pdf","27-CR-21-6904")</f>
        <v>27-CR-21-6904</v>
      </c>
      <c r="D45" s="3" t="s">
        <v>15</v>
      </c>
      <c r="E45" s="8" t="str">
        <f aca="false">HYPERLINK("https://mncourtfraud.com/file/MCRO_27-CR-21-6904_Order-Evaluation for Competency to Proceed (Rule 20.01)_2023-02-21_20240430080457.pdf","MCRO_27-CR-21-6904_Order-Evaluation for Competency to Proceed (Rule 20.01)_2023-02-21_20240430080457.pdf")</f>
        <v>MCRO_27-CR-21-6904_Order-Evaluation for Competency to Proceed (Rule 20.01)_2023-02-21_20240430080457.pdf</v>
      </c>
      <c r="F45" s="9" t="n">
        <v>44978</v>
      </c>
      <c r="G45" s="1" t="s">
        <v>49</v>
      </c>
      <c r="H45" s="3" t="s">
        <v>50</v>
      </c>
      <c r="I45" s="3" t="s">
        <v>51</v>
      </c>
      <c r="K45" s="10"/>
      <c r="N45" s="10"/>
    </row>
    <row r="46" customFormat="false" ht="18.7" hidden="false" customHeight="true" outlineLevel="0" collapsed="false">
      <c r="A46" s="1" t="n">
        <v>45</v>
      </c>
      <c r="B46" s="7" t="str">
        <f aca="false">HYPERLINK("https://mncourtfraud.com/file/LPK-7.zip","LPK-7.zip")</f>
        <v>LPK-7.zip</v>
      </c>
      <c r="C46" s="8" t="str">
        <f aca="false">HYPERLINK("https://mncourtfraud.com/file/27-CR-21-8067.pdf","27-CR-21-8067")</f>
        <v>27-CR-21-8067</v>
      </c>
      <c r="D46" s="3" t="s">
        <v>15</v>
      </c>
      <c r="E46" s="8" t="str">
        <f aca="false">HYPERLINK("https://mncourtfraud.com/file/MCRO_27-CR-21-8067_Order-Evaluation for Competency to Proceed (Rule 20.01)_2023-02-21_20240430080641.pdf","MCRO_27-CR-21-8067_Order-Evaluation for Competency to Proceed (Rule 20.01)_2023-02-21_20240430080641.pdf")</f>
        <v>MCRO_27-CR-21-8067_Order-Evaluation for Competency to Proceed (Rule 20.01)_2023-02-21_20240430080641.pdf</v>
      </c>
      <c r="F46" s="9" t="n">
        <v>44978</v>
      </c>
      <c r="G46" s="1" t="s">
        <v>49</v>
      </c>
      <c r="H46" s="3" t="s">
        <v>50</v>
      </c>
      <c r="I46" s="3" t="s">
        <v>51</v>
      </c>
      <c r="K46" s="10"/>
      <c r="N46" s="10"/>
    </row>
    <row r="47" customFormat="false" ht="18.7" hidden="false" customHeight="true" outlineLevel="0" collapsed="false">
      <c r="A47" s="1" t="n">
        <v>46</v>
      </c>
      <c r="B47" s="7" t="str">
        <f aca="false">HYPERLINK("https://mncourtfraud.com/file/LPK-7.zip","LPK-7.zip")</f>
        <v>LPK-7.zip</v>
      </c>
      <c r="C47" s="8" t="str">
        <f aca="false">HYPERLINK("https://mncourtfraud.com/file/27-CR-21-8227.pdf","27-CR-21-8227")</f>
        <v>27-CR-21-8227</v>
      </c>
      <c r="D47" s="3" t="s">
        <v>15</v>
      </c>
      <c r="E47" s="8" t="str">
        <f aca="false">HYPERLINK("https://mncourtfraud.com/file/MCRO_27-CR-21-8227_Order-Evaluation for Competency to Proceed (Rule 20.01)_2023-02-21_20240430080735.pdf","MCRO_27-CR-21-8227_Order-Evaluation for Competency to Proceed (Rule 20.01)_2023-02-21_20240430080735.pdf")</f>
        <v>MCRO_27-CR-21-8227_Order-Evaluation for Competency to Proceed (Rule 20.01)_2023-02-21_20240430080735.pdf</v>
      </c>
      <c r="F47" s="9" t="n">
        <v>44978</v>
      </c>
      <c r="G47" s="1" t="s">
        <v>49</v>
      </c>
      <c r="H47" s="3" t="s">
        <v>50</v>
      </c>
      <c r="I47" s="3" t="s">
        <v>51</v>
      </c>
      <c r="K47" s="10"/>
      <c r="N47" s="10"/>
    </row>
    <row r="48" customFormat="false" ht="18.7" hidden="false" customHeight="true" outlineLevel="0" collapsed="false">
      <c r="A48" s="1" t="n">
        <v>47</v>
      </c>
      <c r="B48" s="7" t="str">
        <f aca="false">HYPERLINK("https://mncourtfraud.com/file/LPK-7.zip","LPK-7.zip")</f>
        <v>LPK-7.zip</v>
      </c>
      <c r="C48" s="8" t="str">
        <f aca="false">HYPERLINK("https://mncourtfraud.com/file/27-CR-21-8228.pdf","27-CR-21-8228")</f>
        <v>27-CR-21-8228</v>
      </c>
      <c r="D48" s="3" t="s">
        <v>15</v>
      </c>
      <c r="E48" s="8" t="str">
        <f aca="false">HYPERLINK("https://mncourtfraud.com/file/MCRO_27-CR-21-8228_Order-Evaluation for Competency to Proceed (Rule 20.01)_2023-02-21_20240430080828.pdf","MCRO_27-CR-21-8228_Order-Evaluation for Competency to Proceed (Rule 20.01)_2023-02-21_20240430080828.pdf")</f>
        <v>MCRO_27-CR-21-8228_Order-Evaluation for Competency to Proceed (Rule 20.01)_2023-02-21_20240430080828.pdf</v>
      </c>
      <c r="F48" s="9" t="n">
        <v>44978</v>
      </c>
      <c r="G48" s="1" t="s">
        <v>49</v>
      </c>
      <c r="H48" s="3" t="s">
        <v>50</v>
      </c>
      <c r="I48" s="3" t="s">
        <v>51</v>
      </c>
      <c r="K48" s="10"/>
      <c r="N48" s="10"/>
    </row>
    <row r="49" customFormat="false" ht="18.7" hidden="false" customHeight="true" outlineLevel="0" collapsed="false">
      <c r="A49" s="1" t="n">
        <v>48</v>
      </c>
      <c r="B49" s="7" t="str">
        <f aca="false">HYPERLINK("https://mncourtfraud.com/file/LPK-7.zip","LPK-7.zip")</f>
        <v>LPK-7.zip</v>
      </c>
      <c r="C49" s="8" t="str">
        <f aca="false">HYPERLINK("https://mncourtfraud.com/file/27-CR-21-8229.pdf","27-CR-21-8229")</f>
        <v>27-CR-21-8229</v>
      </c>
      <c r="D49" s="3" t="s">
        <v>15</v>
      </c>
      <c r="E49" s="8" t="str">
        <f aca="false">HYPERLINK("https://mncourtfraud.com/file/MCRO_27-CR-21-8229_Order-Evaluation for Competency to Proceed (Rule 20.01)_2023-02-21_20240430081525.pdf","MCRO_27-CR-21-8229_Order-Evaluation for Competency to Proceed (Rule 20.01)_2023-02-21_20240430081525.pdf")</f>
        <v>MCRO_27-CR-21-8229_Order-Evaluation for Competency to Proceed (Rule 20.01)_2023-02-21_20240430081525.pdf</v>
      </c>
      <c r="F49" s="9" t="n">
        <v>44978</v>
      </c>
      <c r="G49" s="1" t="s">
        <v>49</v>
      </c>
      <c r="H49" s="3" t="s">
        <v>50</v>
      </c>
      <c r="I49" s="3" t="s">
        <v>51</v>
      </c>
      <c r="K49" s="10"/>
      <c r="N49" s="10"/>
    </row>
    <row r="50" customFormat="false" ht="18.7" hidden="false" customHeight="true" outlineLevel="0" collapsed="false">
      <c r="A50" s="1" t="n">
        <v>49</v>
      </c>
      <c r="B50" s="7" t="str">
        <f aca="false">HYPERLINK("https://mncourtfraud.com/file/LPK-7.zip","LPK-7.zip")</f>
        <v>LPK-7.zip</v>
      </c>
      <c r="C50" s="8" t="str">
        <f aca="false">HYPERLINK("https://mncourtfraud.com/file/27-CR-21-8230.pdf","27-CR-21-8230")</f>
        <v>27-CR-21-8230</v>
      </c>
      <c r="D50" s="3" t="s">
        <v>15</v>
      </c>
      <c r="E50" s="8" t="str">
        <f aca="false">HYPERLINK("https://mncourtfraud.com/file/MCRO_27-CR-21-8230_Order-Evaluation for Competency to Proceed (Rule 20.01)_2023-02-21_20240430081643.pdf","MCRO_27-CR-21-8230_Order-Evaluation for Competency to Proceed (Rule 20.01)_2023-02-21_20240430081643.pdf")</f>
        <v>MCRO_27-CR-21-8230_Order-Evaluation for Competency to Proceed (Rule 20.01)_2023-02-21_20240430081643.pdf</v>
      </c>
      <c r="F50" s="9" t="n">
        <v>44978</v>
      </c>
      <c r="G50" s="1" t="s">
        <v>49</v>
      </c>
      <c r="H50" s="3" t="s">
        <v>50</v>
      </c>
      <c r="I50" s="3" t="s">
        <v>51</v>
      </c>
      <c r="K50" s="10"/>
      <c r="N50" s="10"/>
    </row>
    <row r="51" customFormat="false" ht="18.7" hidden="false" customHeight="true" outlineLevel="0" collapsed="false">
      <c r="A51" s="1" t="n">
        <v>50</v>
      </c>
      <c r="B51" s="7" t="str">
        <f aca="false">HYPERLINK("https://mncourtfraud.com/file/LPK-7.zip","LPK-7.zip")</f>
        <v>LPK-7.zip</v>
      </c>
      <c r="C51" s="8" t="str">
        <f aca="false">HYPERLINK("https://mncourtfraud.com/file/27-CR-21-8511.pdf","27-CR-21-8511")</f>
        <v>27-CR-21-8511</v>
      </c>
      <c r="D51" s="3" t="s">
        <v>15</v>
      </c>
      <c r="E51" s="8" t="str">
        <f aca="false">HYPERLINK("https://mncourtfraud.com/file/MCRO_27-CR-21-8511_Order-Evaluation for Competency to Proceed (Rule 20.01)_2023-02-21_20240430082016.pdf","MCRO_27-CR-21-8511_Order-Evaluation for Competency to Proceed (Rule 20.01)_2023-02-21_20240430082016.pdf")</f>
        <v>MCRO_27-CR-21-8511_Order-Evaluation for Competency to Proceed (Rule 20.01)_2023-02-21_20240430082016.pdf</v>
      </c>
      <c r="F51" s="9" t="n">
        <v>44978</v>
      </c>
      <c r="G51" s="1" t="s">
        <v>49</v>
      </c>
      <c r="H51" s="3" t="s">
        <v>50</v>
      </c>
      <c r="I51" s="3" t="s">
        <v>51</v>
      </c>
      <c r="K51" s="10"/>
      <c r="N51" s="10"/>
    </row>
    <row r="52" customFormat="false" ht="18.7" hidden="false" customHeight="true" outlineLevel="0" collapsed="false">
      <c r="A52" s="1" t="n">
        <v>51</v>
      </c>
      <c r="B52" s="7" t="str">
        <f aca="false">HYPERLINK("https://mncourtfraud.com/file/LPK-7.zip","LPK-7.zip")</f>
        <v>LPK-7.zip</v>
      </c>
      <c r="C52" s="8" t="str">
        <f aca="false">HYPERLINK("https://mncourtfraud.com/file/27-CR-22-17300.pdf","27-CR-22-17300")</f>
        <v>27-CR-22-17300</v>
      </c>
      <c r="D52" s="3" t="s">
        <v>15</v>
      </c>
      <c r="E52" s="8" t="str">
        <f aca="false">HYPERLINK("https://mncourtfraud.com/file/MCRO_27-CR-22-17300_Order-Evaluation for Competency to Proceed (Rule 20.01)_2023-02-21_20240429162005.pdf","MCRO_27-CR-22-17300_Order-Evaluation for Competency to Proceed (Rule 20.01)_2023-02-21_20240429162005.pdf")</f>
        <v>MCRO_27-CR-22-17300_Order-Evaluation for Competency to Proceed (Rule 20.01)_2023-02-21_20240429162005.pdf</v>
      </c>
      <c r="F52" s="9" t="n">
        <v>44978</v>
      </c>
      <c r="G52" s="1" t="s">
        <v>49</v>
      </c>
      <c r="H52" s="3" t="s">
        <v>50</v>
      </c>
      <c r="I52" s="3" t="s">
        <v>51</v>
      </c>
      <c r="K52" s="10"/>
      <c r="N52" s="10"/>
    </row>
    <row r="53" customFormat="false" ht="18.7" hidden="false" customHeight="true" outlineLevel="0" collapsed="false">
      <c r="A53" s="1" t="n">
        <v>52</v>
      </c>
      <c r="B53" s="7" t="str">
        <f aca="false">HYPERLINK("https://mncourtfraud.com/file/LPK-7.zip","LPK-7.zip")</f>
        <v>LPK-7.zip</v>
      </c>
      <c r="C53" s="8" t="str">
        <f aca="false">HYPERLINK("https://mncourtfraud.com/file/27-CR-22-21679.pdf","27-CR-22-21679")</f>
        <v>27-CR-22-21679</v>
      </c>
      <c r="D53" s="3" t="s">
        <v>15</v>
      </c>
      <c r="E53" s="8" t="str">
        <f aca="false">HYPERLINK("https://mncourtfraud.com/file/MCRO_27-CR-22-21679_Order-Evaluation for Competency to Proceed (Rule 20.01)_2023-02-21_20240429162900.pdf","MCRO_27-CR-22-21679_Order-Evaluation for Competency to Proceed (Rule 20.01)_2023-02-21_20240429162900.pdf")</f>
        <v>MCRO_27-CR-22-21679_Order-Evaluation for Competency to Proceed (Rule 20.01)_2023-02-21_20240429162900.pdf</v>
      </c>
      <c r="F53" s="9" t="n">
        <v>44978</v>
      </c>
      <c r="G53" s="1" t="s">
        <v>49</v>
      </c>
      <c r="H53" s="3" t="s">
        <v>50</v>
      </c>
      <c r="I53" s="3" t="s">
        <v>51</v>
      </c>
      <c r="K53" s="10"/>
      <c r="N53" s="10"/>
    </row>
    <row r="54" customFormat="false" ht="18.7" hidden="false" customHeight="true" outlineLevel="0" collapsed="false">
      <c r="A54" s="1" t="n">
        <v>53</v>
      </c>
      <c r="B54" s="7" t="str">
        <f aca="false">HYPERLINK("https://mncourtfraud.com/file/LPK-7.zip","LPK-7.zip")</f>
        <v>LPK-7.zip</v>
      </c>
      <c r="C54" s="8" t="str">
        <f aca="false">HYPERLINK("https://mncourtfraud.com/file/27-CR-22-24045.pdf","27-CR-22-24045")</f>
        <v>27-CR-22-24045</v>
      </c>
      <c r="D54" s="3" t="s">
        <v>15</v>
      </c>
      <c r="E54" s="8" t="str">
        <f aca="false">HYPERLINK("https://mncourtfraud.com/file/MCRO_27-CR-22-24045_Order-Evaluation for Competency to Proceed (Rule 20.01)_2023-02-21_20240429164221.pdf","MCRO_27-CR-22-24045_Order-Evaluation for Competency to Proceed (Rule 20.01)_2023-02-21_20240429164221.pdf")</f>
        <v>MCRO_27-CR-22-24045_Order-Evaluation for Competency to Proceed (Rule 20.01)_2023-02-21_20240429164221.pdf</v>
      </c>
      <c r="F54" s="9" t="n">
        <v>44978</v>
      </c>
      <c r="G54" s="1" t="s">
        <v>49</v>
      </c>
      <c r="H54" s="3" t="s">
        <v>50</v>
      </c>
      <c r="I54" s="3" t="s">
        <v>51</v>
      </c>
      <c r="K54" s="10"/>
      <c r="N54" s="10"/>
    </row>
    <row r="55" customFormat="false" ht="18.7" hidden="false" customHeight="true" outlineLevel="0" collapsed="false">
      <c r="A55" s="1" t="n">
        <v>54</v>
      </c>
      <c r="B55" s="7" t="str">
        <f aca="false">HYPERLINK("https://mncourtfraud.com/file/LPK-7.zip","LPK-7.zip")</f>
        <v>LPK-7.zip</v>
      </c>
      <c r="C55" s="8" t="str">
        <f aca="false">HYPERLINK("https://mncourtfraud.com/file/27-CR-23-385.pdf","27-CR-23-385")</f>
        <v>27-CR-23-385</v>
      </c>
      <c r="D55" s="3" t="s">
        <v>15</v>
      </c>
      <c r="E55" s="8" t="str">
        <f aca="false">HYPERLINK("https://mncourtfraud.com/file/MCRO_27-CR-23-385_Order-Evaluation for Competency to Proceed (Rule 20.01)_2023-02-21_20240430071838.pdf","MCRO_27-CR-23-385_Order-Evaluation for Competency to Proceed (Rule 20.01)_2023-02-21_20240430071838.pdf")</f>
        <v>MCRO_27-CR-23-385_Order-Evaluation for Competency to Proceed (Rule 20.01)_2023-02-21_20240430071838.pdf</v>
      </c>
      <c r="F55" s="9" t="n">
        <v>44978</v>
      </c>
      <c r="G55" s="1" t="s">
        <v>49</v>
      </c>
      <c r="H55" s="3" t="s">
        <v>50</v>
      </c>
      <c r="I55" s="3" t="s">
        <v>51</v>
      </c>
      <c r="K55" s="10"/>
      <c r="N55" s="10"/>
    </row>
    <row r="56" customFormat="false" ht="18.7" hidden="false" customHeight="true" outlineLevel="0" collapsed="false">
      <c r="A56" s="1" t="n">
        <v>55</v>
      </c>
      <c r="F56" s="9"/>
      <c r="K56" s="10"/>
      <c r="N56" s="10"/>
    </row>
    <row r="57" customFormat="false" ht="18.7" hidden="false" customHeight="true" outlineLevel="0" collapsed="false">
      <c r="A57" s="1" t="n">
        <v>56</v>
      </c>
      <c r="B57" s="7" t="str">
        <f aca="false">HYPERLINK("https://mncourtfraud.com/file/LPK-8.zip","LPK-8.zip")</f>
        <v>LPK-8.zip</v>
      </c>
      <c r="C57" s="8" t="str">
        <f aca="false">HYPERLINK("https://mncourtfraud.com/file/27-CR-21-8067.pdf","27-CR-21-8067")</f>
        <v>27-CR-21-8067</v>
      </c>
      <c r="D57" s="3" t="s">
        <v>15</v>
      </c>
      <c r="E57" s="8" t="str">
        <f aca="false">HYPERLINK("https://mncourtfraud.com/file/MCRO_27-CR-21-8067_Order-Evaluation for Competency to Proceed (Rule 20.01)_2023-03-28_20240430080639.pdf","MCRO_27-CR-21-8067_Order-Evaluation for Competency to Proceed (Rule 20.01)_2023-03-28_20240430080639.pdf")</f>
        <v>MCRO_27-CR-21-8067_Order-Evaluation for Competency to Proceed (Rule 20.01)_2023-03-28_20240430080639.pdf</v>
      </c>
      <c r="F57" s="9" t="n">
        <v>45013</v>
      </c>
      <c r="G57" s="1" t="s">
        <v>52</v>
      </c>
      <c r="H57" s="3" t="s">
        <v>53</v>
      </c>
      <c r="I57" s="3" t="s">
        <v>54</v>
      </c>
      <c r="J57" s="3" t="s">
        <v>55</v>
      </c>
      <c r="K57" s="10" t="s">
        <v>56</v>
      </c>
      <c r="L57" s="3" t="s">
        <v>57</v>
      </c>
      <c r="N57" s="10"/>
    </row>
    <row r="58" customFormat="false" ht="18.7" hidden="false" customHeight="true" outlineLevel="0" collapsed="false">
      <c r="A58" s="1" t="n">
        <v>57</v>
      </c>
      <c r="B58" s="7" t="str">
        <f aca="false">HYPERLINK("https://mncourtfraud.com/file/LPK-8.zip","LPK-8.zip")</f>
        <v>LPK-8.zip</v>
      </c>
      <c r="C58" s="8" t="str">
        <f aca="false">HYPERLINK("https://mncourtfraud.com/file/27-CR-21-8227.pdf","27-CR-21-8227")</f>
        <v>27-CR-21-8227</v>
      </c>
      <c r="D58" s="3" t="s">
        <v>15</v>
      </c>
      <c r="E58" s="8" t="str">
        <f aca="false">HYPERLINK("https://mncourtfraud.com/file/MCRO_27-CR-21-8227_Order-Evaluation for Competency to Proceed (Rule 20.01)_2023-03-28_20240430080733.pdf","MCRO_27-CR-21-8227_Order-Evaluation for Competency to Proceed (Rule 20.01)_2023-03-28_20240430080733.pdf")</f>
        <v>MCRO_27-CR-21-8227_Order-Evaluation for Competency to Proceed (Rule 20.01)_2023-03-28_20240430080733.pdf</v>
      </c>
      <c r="F58" s="9" t="n">
        <v>45013</v>
      </c>
      <c r="G58" s="1" t="s">
        <v>52</v>
      </c>
      <c r="H58" s="3" t="s">
        <v>53</v>
      </c>
      <c r="I58" s="3" t="s">
        <v>54</v>
      </c>
      <c r="J58" s="3" t="s">
        <v>55</v>
      </c>
      <c r="K58" s="10" t="s">
        <v>56</v>
      </c>
      <c r="L58" s="3" t="s">
        <v>57</v>
      </c>
      <c r="N58" s="10"/>
    </row>
    <row r="59" customFormat="false" ht="18.7" hidden="false" customHeight="true" outlineLevel="0" collapsed="false">
      <c r="A59" s="1" t="n">
        <v>58</v>
      </c>
      <c r="B59" s="7" t="str">
        <f aca="false">HYPERLINK("https://mncourtfraud.com/file/LPK-8.zip","LPK-8.zip")</f>
        <v>LPK-8.zip</v>
      </c>
      <c r="C59" s="8" t="str">
        <f aca="false">HYPERLINK("https://mncourtfraud.com/file/27-CR-21-8228.pdf","27-CR-21-8228")</f>
        <v>27-CR-21-8228</v>
      </c>
      <c r="D59" s="3" t="s">
        <v>15</v>
      </c>
      <c r="E59" s="8" t="str">
        <f aca="false">HYPERLINK("https://mncourtfraud.com/file/MCRO_27-CR-21-8228_Order-Evaluation for Competency to Proceed (Rule 20.01)_2023-03-28_20240430080826.pdf","MCRO_27-CR-21-8228_Order-Evaluation for Competency to Proceed (Rule 20.01)_2023-03-28_20240430080826.pdf")</f>
        <v>MCRO_27-CR-21-8228_Order-Evaluation for Competency to Proceed (Rule 20.01)_2023-03-28_20240430080826.pdf</v>
      </c>
      <c r="F59" s="9" t="n">
        <v>45013</v>
      </c>
      <c r="G59" s="1" t="s">
        <v>52</v>
      </c>
      <c r="H59" s="3" t="s">
        <v>53</v>
      </c>
      <c r="I59" s="3" t="s">
        <v>54</v>
      </c>
      <c r="J59" s="3" t="s">
        <v>55</v>
      </c>
      <c r="K59" s="10" t="s">
        <v>56</v>
      </c>
      <c r="L59" s="3" t="s">
        <v>57</v>
      </c>
      <c r="N59" s="10"/>
    </row>
    <row r="60" customFormat="false" ht="18.7" hidden="false" customHeight="true" outlineLevel="0" collapsed="false">
      <c r="A60" s="1" t="n">
        <v>59</v>
      </c>
      <c r="B60" s="7" t="str">
        <f aca="false">HYPERLINK("https://mncourtfraud.com/file/LPK-8.zip","LPK-8.zip")</f>
        <v>LPK-8.zip</v>
      </c>
      <c r="C60" s="8" t="str">
        <f aca="false">HYPERLINK("https://mncourtfraud.com/file/27-CR-21-8229.pdf","27-CR-21-8229")</f>
        <v>27-CR-21-8229</v>
      </c>
      <c r="D60" s="3" t="s">
        <v>15</v>
      </c>
      <c r="E60" s="8" t="str">
        <f aca="false">HYPERLINK("https://mncourtfraud.com/file/MCRO_27-CR-21-8229_Order-Evaluation for Competency to Proceed (Rule 20.01)_2023-03-28_20240430081523.pdf","MCRO_27-CR-21-8229_Order-Evaluation for Competency to Proceed (Rule 20.01)_2023-03-28_20240430081523.pdf")</f>
        <v>MCRO_27-CR-21-8229_Order-Evaluation for Competency to Proceed (Rule 20.01)_2023-03-28_20240430081523.pdf</v>
      </c>
      <c r="F60" s="9" t="n">
        <v>45013</v>
      </c>
      <c r="G60" s="1" t="s">
        <v>52</v>
      </c>
      <c r="H60" s="3" t="s">
        <v>53</v>
      </c>
      <c r="I60" s="3" t="s">
        <v>54</v>
      </c>
      <c r="J60" s="3" t="s">
        <v>55</v>
      </c>
      <c r="K60" s="10" t="s">
        <v>56</v>
      </c>
      <c r="L60" s="3" t="s">
        <v>57</v>
      </c>
      <c r="N60" s="10"/>
    </row>
    <row r="61" customFormat="false" ht="18.7" hidden="false" customHeight="true" outlineLevel="0" collapsed="false">
      <c r="A61" s="1" t="n">
        <v>60</v>
      </c>
      <c r="B61" s="7" t="str">
        <f aca="false">HYPERLINK("https://mncourtfraud.com/file/LPK-8.zip","LPK-8.zip")</f>
        <v>LPK-8.zip</v>
      </c>
      <c r="C61" s="8" t="str">
        <f aca="false">HYPERLINK("https://mncourtfraud.com/file/27-CR-21-8230.pdf","27-CR-21-8230")</f>
        <v>27-CR-21-8230</v>
      </c>
      <c r="D61" s="3" t="s">
        <v>15</v>
      </c>
      <c r="E61" s="8" t="str">
        <f aca="false">HYPERLINK("https://mncourtfraud.com/file/MCRO_27-CR-21-8230_Order-Evaluation for Competency to Proceed (Rule 20.01)_2023-03-28_20240430081641.pdf","MCRO_27-CR-21-8230_Order-Evaluation for Competency to Proceed (Rule 20.01)_2023-03-28_20240430081641.pdf")</f>
        <v>MCRO_27-CR-21-8230_Order-Evaluation for Competency to Proceed (Rule 20.01)_2023-03-28_20240430081641.pdf</v>
      </c>
      <c r="F61" s="9" t="n">
        <v>45013</v>
      </c>
      <c r="G61" s="1" t="s">
        <v>52</v>
      </c>
      <c r="H61" s="3" t="s">
        <v>53</v>
      </c>
      <c r="I61" s="3" t="s">
        <v>54</v>
      </c>
      <c r="J61" s="3" t="s">
        <v>55</v>
      </c>
      <c r="K61" s="10" t="s">
        <v>56</v>
      </c>
      <c r="L61" s="3" t="s">
        <v>57</v>
      </c>
      <c r="N61" s="10"/>
    </row>
    <row r="62" customFormat="false" ht="18.7" hidden="false" customHeight="true" outlineLevel="0" collapsed="false">
      <c r="A62" s="1" t="n">
        <v>61</v>
      </c>
      <c r="B62" s="7" t="str">
        <f aca="false">HYPERLINK("https://mncourtfraud.com/file/LPK-8.zip","LPK-8.zip")</f>
        <v>LPK-8.zip</v>
      </c>
      <c r="C62" s="8" t="str">
        <f aca="false">HYPERLINK("https://mncourtfraud.com/file/27-CR-21-8511.pdf","27-CR-21-8511")</f>
        <v>27-CR-21-8511</v>
      </c>
      <c r="D62" s="3" t="s">
        <v>15</v>
      </c>
      <c r="E62" s="8" t="str">
        <f aca="false">HYPERLINK("https://mncourtfraud.com/file/MCRO_27-CR-21-8511_Order-Evaluation for Competency to Proceed (Rule 20.01)_2023-03-28_20240430082015.pdf","MCRO_27-CR-21-8511_Order-Evaluation for Competency to Proceed (Rule 20.01)_2023-03-28_20240430082015.pdf")</f>
        <v>MCRO_27-CR-21-8511_Order-Evaluation for Competency to Proceed (Rule 20.01)_2023-03-28_20240430082015.pdf</v>
      </c>
      <c r="F62" s="9" t="n">
        <v>45013</v>
      </c>
      <c r="G62" s="1" t="s">
        <v>52</v>
      </c>
      <c r="H62" s="3" t="s">
        <v>53</v>
      </c>
      <c r="I62" s="3" t="s">
        <v>54</v>
      </c>
      <c r="J62" s="3" t="s">
        <v>55</v>
      </c>
      <c r="K62" s="10" t="s">
        <v>56</v>
      </c>
      <c r="L62" s="3" t="s">
        <v>57</v>
      </c>
      <c r="N62" s="10"/>
    </row>
    <row r="63" customFormat="false" ht="18.7" hidden="false" customHeight="true" outlineLevel="0" collapsed="false">
      <c r="A63" s="1" t="n">
        <v>62</v>
      </c>
      <c r="B63" s="7" t="str">
        <f aca="false">HYPERLINK("https://mncourtfraud.com/file/LPK-8.zip","LPK-8.zip")</f>
        <v>LPK-8.zip</v>
      </c>
      <c r="C63" s="8" t="str">
        <f aca="false">HYPERLINK("https://mncourtfraud.com/file/27-CR-22-17300.pdf","27-CR-22-17300")</f>
        <v>27-CR-22-17300</v>
      </c>
      <c r="D63" s="3" t="s">
        <v>15</v>
      </c>
      <c r="E63" s="8" t="str">
        <f aca="false">HYPERLINK("https://mncourtfraud.com/file/MCRO_27-CR-22-17300_Order-Evaluation for Competency to Proceed (Rule 20.01)_2023-03-28_20240429162003.pdf","MCRO_27-CR-22-17300_Order-Evaluation for Competency to Proceed (Rule 20.01)_2023-03-28_20240429162003.pdf")</f>
        <v>MCRO_27-CR-22-17300_Order-Evaluation for Competency to Proceed (Rule 20.01)_2023-03-28_20240429162003.pdf</v>
      </c>
      <c r="F63" s="9" t="n">
        <v>45013</v>
      </c>
      <c r="G63" s="1" t="s">
        <v>52</v>
      </c>
      <c r="H63" s="3" t="s">
        <v>53</v>
      </c>
      <c r="I63" s="3" t="s">
        <v>54</v>
      </c>
      <c r="J63" s="3" t="s">
        <v>55</v>
      </c>
      <c r="K63" s="10" t="s">
        <v>56</v>
      </c>
      <c r="L63" s="3" t="s">
        <v>57</v>
      </c>
      <c r="N63" s="10"/>
    </row>
    <row r="64" customFormat="false" ht="18.7" hidden="false" customHeight="true" outlineLevel="0" collapsed="false">
      <c r="A64" s="1" t="n">
        <v>63</v>
      </c>
      <c r="B64" s="7" t="str">
        <f aca="false">HYPERLINK("https://mncourtfraud.com/file/LPK-8.zip","LPK-8.zip")</f>
        <v>LPK-8.zip</v>
      </c>
      <c r="C64" s="8" t="str">
        <f aca="false">HYPERLINK("https://mncourtfraud.com/file/27-CR-22-21679.pdf","27-CR-22-21679")</f>
        <v>27-CR-22-21679</v>
      </c>
      <c r="D64" s="3" t="s">
        <v>15</v>
      </c>
      <c r="E64" s="8" t="str">
        <f aca="false">HYPERLINK("https://mncourtfraud.com/file/MCRO_27-CR-22-21679_Order-Evaluation for Competency to Proceed (Rule 20.01)_2023-03-28_20240429162859.pdf","MCRO_27-CR-22-21679_Order-Evaluation for Competency to Proceed (Rule 20.01)_2023-03-28_20240429162859.pdf")</f>
        <v>MCRO_27-CR-22-21679_Order-Evaluation for Competency to Proceed (Rule 20.01)_2023-03-28_20240429162859.pdf</v>
      </c>
      <c r="F64" s="9" t="n">
        <v>45013</v>
      </c>
      <c r="G64" s="1" t="s">
        <v>52</v>
      </c>
      <c r="H64" s="3" t="s">
        <v>53</v>
      </c>
      <c r="I64" s="3" t="s">
        <v>54</v>
      </c>
      <c r="J64" s="3" t="s">
        <v>55</v>
      </c>
      <c r="K64" s="10" t="s">
        <v>56</v>
      </c>
      <c r="L64" s="3" t="s">
        <v>57</v>
      </c>
      <c r="N64" s="10"/>
    </row>
    <row r="65" customFormat="false" ht="18.7" hidden="false" customHeight="true" outlineLevel="0" collapsed="false">
      <c r="A65" s="1" t="n">
        <v>64</v>
      </c>
      <c r="B65" s="7" t="str">
        <f aca="false">HYPERLINK("https://mncourtfraud.com/file/LPK-8.zip","LPK-8.zip")</f>
        <v>LPK-8.zip</v>
      </c>
      <c r="C65" s="8" t="str">
        <f aca="false">HYPERLINK("https://mncourtfraud.com/file/27-CR-22-24045.pdf","27-CR-22-24045")</f>
        <v>27-CR-22-24045</v>
      </c>
      <c r="D65" s="3" t="s">
        <v>15</v>
      </c>
      <c r="E65" s="8" t="str">
        <f aca="false">HYPERLINK("https://mncourtfraud.com/file/MCRO_27-CR-22-24045_Order-Evaluation for Competency to Proceed (Rule 20.01)_2023-03-28_20240429164220.pdf","MCRO_27-CR-22-24045_Order-Evaluation for Competency to Proceed (Rule 20.01)_2023-03-28_20240429164220.pdf")</f>
        <v>MCRO_27-CR-22-24045_Order-Evaluation for Competency to Proceed (Rule 20.01)_2023-03-28_20240429164220.pdf</v>
      </c>
      <c r="F65" s="9" t="n">
        <v>45013</v>
      </c>
      <c r="G65" s="1" t="s">
        <v>52</v>
      </c>
      <c r="H65" s="3" t="s">
        <v>53</v>
      </c>
      <c r="I65" s="3" t="s">
        <v>54</v>
      </c>
      <c r="J65" s="3" t="s">
        <v>55</v>
      </c>
      <c r="K65" s="10" t="s">
        <v>56</v>
      </c>
      <c r="L65" s="3" t="s">
        <v>57</v>
      </c>
      <c r="N65" s="10"/>
    </row>
    <row r="66" customFormat="false" ht="18.7" hidden="false" customHeight="true" outlineLevel="0" collapsed="false">
      <c r="A66" s="1" t="n">
        <v>65</v>
      </c>
      <c r="B66" s="7" t="str">
        <f aca="false">HYPERLINK("https://mncourtfraud.com/file/LPK-8.zip","LPK-8.zip")</f>
        <v>LPK-8.zip</v>
      </c>
      <c r="C66" s="8" t="str">
        <f aca="false">HYPERLINK("https://mncourtfraud.com/file/27-CR-23-385.pdf","27-CR-23-385")</f>
        <v>27-CR-23-385</v>
      </c>
      <c r="D66" s="3" t="s">
        <v>15</v>
      </c>
      <c r="E66" s="8" t="str">
        <f aca="false">HYPERLINK("https://mncourtfraud.com/file/MCRO_27-CR-23-385_Order-Evaluation for Competency to Proceed (Rule 20.01)_2023-03-28_20240430071837.pdf","MCRO_27-CR-23-385_Order-Evaluation for Competency to Proceed (Rule 20.01)_2023-03-28_20240430071837.pdf")</f>
        <v>MCRO_27-CR-23-385_Order-Evaluation for Competency to Proceed (Rule 20.01)_2023-03-28_20240430071837.pdf</v>
      </c>
      <c r="F66" s="9" t="n">
        <v>45013</v>
      </c>
      <c r="G66" s="1" t="s">
        <v>52</v>
      </c>
      <c r="H66" s="3" t="s">
        <v>53</v>
      </c>
      <c r="I66" s="3" t="s">
        <v>54</v>
      </c>
      <c r="J66" s="3" t="s">
        <v>55</v>
      </c>
      <c r="K66" s="10" t="s">
        <v>56</v>
      </c>
      <c r="L66" s="3" t="s">
        <v>57</v>
      </c>
      <c r="N66" s="10"/>
    </row>
    <row r="67" customFormat="false" ht="18.7" hidden="false" customHeight="true" outlineLevel="0" collapsed="false">
      <c r="A67" s="1" t="n">
        <v>66</v>
      </c>
      <c r="B67" s="7" t="str">
        <f aca="false">HYPERLINK("https://mncourtfraud.com/file/LPK-8.zip","LPK-8.zip")</f>
        <v>LPK-8.zip</v>
      </c>
      <c r="C67" s="8" t="str">
        <f aca="false">HYPERLINK("https://mncourtfraud.com/file/27-CR-23-5751.pdf","27-CR-23-5751")</f>
        <v>27-CR-23-5751</v>
      </c>
      <c r="D67" s="3" t="s">
        <v>15</v>
      </c>
      <c r="E67" s="8" t="str">
        <f aca="false">HYPERLINK("https://mncourtfraud.com/file/MCRO_27-CR-23-5751_Order-Evaluation for Competency to Proceed (Rule 20.01)_2023-03-28_20240430073243.pdf","MCRO_27-CR-23-5751_Order-Evaluation for Competency to Proceed (Rule 20.01)_2023-03-28_20240430073243.pdf")</f>
        <v>MCRO_27-CR-23-5751_Order-Evaluation for Competency to Proceed (Rule 20.01)_2023-03-28_20240430073243.pdf</v>
      </c>
      <c r="F67" s="9" t="n">
        <v>45013</v>
      </c>
      <c r="G67" s="1" t="s">
        <v>52</v>
      </c>
      <c r="H67" s="3" t="s">
        <v>53</v>
      </c>
      <c r="I67" s="3" t="s">
        <v>54</v>
      </c>
      <c r="J67" s="3" t="s">
        <v>55</v>
      </c>
      <c r="K67" s="10" t="s">
        <v>56</v>
      </c>
      <c r="L67" s="3" t="s">
        <v>57</v>
      </c>
      <c r="N67" s="10"/>
    </row>
    <row r="68" customFormat="false" ht="18.7" hidden="false" customHeight="true" outlineLevel="0" collapsed="false">
      <c r="A68" s="1" t="n">
        <v>67</v>
      </c>
      <c r="F68" s="9"/>
      <c r="K68" s="10"/>
      <c r="N68" s="10"/>
    </row>
    <row r="69" customFormat="false" ht="18.7" hidden="false" customHeight="true" outlineLevel="0" collapsed="false">
      <c r="A69" s="1" t="n">
        <v>68</v>
      </c>
      <c r="B69" s="7" t="str">
        <f aca="false">HYPERLINK("https://mncourtfraud.com/file/LPK-9.zip","LPK-9.zip")</f>
        <v>LPK-9.zip</v>
      </c>
      <c r="C69" s="8" t="str">
        <f aca="false">HYPERLINK("https://mncourtfraud.com/file/27-CR-21-6904.pdf","27-CR-21-6904")</f>
        <v>27-CR-21-6904</v>
      </c>
      <c r="D69" s="3" t="s">
        <v>15</v>
      </c>
      <c r="E69" s="8" t="str">
        <f aca="false">HYPERLINK("https://mncourtfraud.com/file/MCRO_27-CR-21-6904_Finding of Incompetency and Order_2023-05-02_20240430080456.pdf","MCRO_27-CR-21-6904_Finding of Incompetency and Order_2023-05-02_20240430080456.pdf")</f>
        <v>MCRO_27-CR-21-6904_Finding of Incompetency and Order_2023-05-02_20240430080456.pdf</v>
      </c>
      <c r="F69" s="9" t="n">
        <v>45048</v>
      </c>
      <c r="G69" s="1" t="s">
        <v>58</v>
      </c>
      <c r="H69" s="3" t="s">
        <v>59</v>
      </c>
      <c r="I69" s="3" t="s">
        <v>60</v>
      </c>
      <c r="J69" s="3" t="s">
        <v>61</v>
      </c>
      <c r="K69" s="10" t="s">
        <v>62</v>
      </c>
      <c r="L69" s="3" t="s">
        <v>63</v>
      </c>
      <c r="M69" s="3" t="s">
        <v>64</v>
      </c>
      <c r="N69" s="10" t="s">
        <v>65</v>
      </c>
      <c r="O69" s="3" t="s">
        <v>66</v>
      </c>
    </row>
    <row r="70" customFormat="false" ht="18.7" hidden="false" customHeight="true" outlineLevel="0" collapsed="false">
      <c r="A70" s="1" t="n">
        <v>69</v>
      </c>
      <c r="B70" s="7" t="str">
        <f aca="false">HYPERLINK("https://mncourtfraud.com/file/LPK-9.zip","LPK-9.zip")</f>
        <v>LPK-9.zip</v>
      </c>
      <c r="C70" s="8" t="str">
        <f aca="false">HYPERLINK("https://mncourtfraud.com/file/27-CR-21-8067.pdf","27-CR-21-8067")</f>
        <v>27-CR-21-8067</v>
      </c>
      <c r="D70" s="3" t="s">
        <v>15</v>
      </c>
      <c r="E70" s="8" t="str">
        <f aca="false">HYPERLINK("https://mncourtfraud.com/file/MCRO_27-CR-21-8067_Finding of Incompetency and Order_2023-05-02_20240430080639.pdf","MCRO_27-CR-21-8067_Finding of Incompetency and Order_2023-05-02_20240430080639.pdf")</f>
        <v>MCRO_27-CR-21-8067_Finding of Incompetency and Order_2023-05-02_20240430080639.pdf</v>
      </c>
      <c r="F70" s="9" t="n">
        <v>45048</v>
      </c>
      <c r="G70" s="1" t="s">
        <v>58</v>
      </c>
      <c r="H70" s="3" t="s">
        <v>59</v>
      </c>
      <c r="I70" s="3" t="s">
        <v>60</v>
      </c>
      <c r="J70" s="3" t="s">
        <v>61</v>
      </c>
      <c r="K70" s="10" t="s">
        <v>62</v>
      </c>
      <c r="L70" s="3" t="s">
        <v>63</v>
      </c>
      <c r="M70" s="3" t="s">
        <v>64</v>
      </c>
      <c r="N70" s="10" t="s">
        <v>65</v>
      </c>
      <c r="O70" s="3" t="s">
        <v>66</v>
      </c>
    </row>
    <row r="71" customFormat="false" ht="18.7" hidden="false" customHeight="true" outlineLevel="0" collapsed="false">
      <c r="A71" s="1" t="n">
        <v>70</v>
      </c>
      <c r="B71" s="7" t="str">
        <f aca="false">HYPERLINK("https://mncourtfraud.com/file/LPK-9.zip","LPK-9.zip")</f>
        <v>LPK-9.zip</v>
      </c>
      <c r="C71" s="8" t="str">
        <f aca="false">HYPERLINK("https://mncourtfraud.com/file/27-CR-21-8227.pdf","27-CR-21-8227")</f>
        <v>27-CR-21-8227</v>
      </c>
      <c r="D71" s="3" t="s">
        <v>15</v>
      </c>
      <c r="E71" s="8" t="str">
        <f aca="false">HYPERLINK("https://mncourtfraud.com/file/MCRO_27-CR-21-8227_Finding of Incompetency and Order_2023-05-02_20240430080732.pdf","MCRO_27-CR-21-8227_Finding of Incompetency and Order_2023-05-02_20240430080732.pdf")</f>
        <v>MCRO_27-CR-21-8227_Finding of Incompetency and Order_2023-05-02_20240430080732.pdf</v>
      </c>
      <c r="F71" s="9" t="n">
        <v>45048</v>
      </c>
      <c r="G71" s="1" t="s">
        <v>58</v>
      </c>
      <c r="H71" s="3" t="s">
        <v>59</v>
      </c>
      <c r="I71" s="3" t="s">
        <v>60</v>
      </c>
      <c r="J71" s="3" t="s">
        <v>61</v>
      </c>
      <c r="K71" s="10" t="s">
        <v>62</v>
      </c>
      <c r="L71" s="3" t="s">
        <v>63</v>
      </c>
      <c r="M71" s="3" t="s">
        <v>64</v>
      </c>
      <c r="N71" s="10" t="s">
        <v>65</v>
      </c>
      <c r="O71" s="3" t="s">
        <v>66</v>
      </c>
    </row>
    <row r="72" customFormat="false" ht="18.7" hidden="false" customHeight="true" outlineLevel="0" collapsed="false">
      <c r="A72" s="1" t="n">
        <v>71</v>
      </c>
      <c r="B72" s="7" t="str">
        <f aca="false">HYPERLINK("https://mncourtfraud.com/file/LPK-9.zip","LPK-9.zip")</f>
        <v>LPK-9.zip</v>
      </c>
      <c r="C72" s="8" t="str">
        <f aca="false">HYPERLINK("https://mncourtfraud.com/file/27-CR-21-8228.pdf","27-CR-21-8228")</f>
        <v>27-CR-21-8228</v>
      </c>
      <c r="D72" s="3" t="s">
        <v>15</v>
      </c>
      <c r="E72" s="8" t="str">
        <f aca="false">HYPERLINK("https://mncourtfraud.com/file/MCRO_27-CR-21-8228_Finding of Incompetency and Order_2023-05-02_20240430080825.pdf","MCRO_27-CR-21-8228_Finding of Incompetency and Order_2023-05-02_20240430080825.pdf")</f>
        <v>MCRO_27-CR-21-8228_Finding of Incompetency and Order_2023-05-02_20240430080825.pdf</v>
      </c>
      <c r="F72" s="9" t="n">
        <v>45048</v>
      </c>
      <c r="G72" s="1" t="s">
        <v>58</v>
      </c>
      <c r="H72" s="3" t="s">
        <v>59</v>
      </c>
      <c r="I72" s="3" t="s">
        <v>60</v>
      </c>
      <c r="J72" s="3" t="s">
        <v>61</v>
      </c>
      <c r="K72" s="10" t="s">
        <v>62</v>
      </c>
      <c r="L72" s="3" t="s">
        <v>63</v>
      </c>
      <c r="M72" s="3" t="s">
        <v>64</v>
      </c>
      <c r="N72" s="10" t="s">
        <v>65</v>
      </c>
      <c r="O72" s="3" t="s">
        <v>66</v>
      </c>
    </row>
    <row r="73" customFormat="false" ht="18.7" hidden="false" customHeight="true" outlineLevel="0" collapsed="false">
      <c r="A73" s="1" t="n">
        <v>72</v>
      </c>
      <c r="B73" s="7" t="str">
        <f aca="false">HYPERLINK("https://mncourtfraud.com/file/LPK-9.zip","LPK-9.zip")</f>
        <v>LPK-9.zip</v>
      </c>
      <c r="C73" s="8" t="str">
        <f aca="false">HYPERLINK("https://mncourtfraud.com/file/27-CR-21-8229.pdf","27-CR-21-8229")</f>
        <v>27-CR-21-8229</v>
      </c>
      <c r="D73" s="3" t="s">
        <v>15</v>
      </c>
      <c r="E73" s="8" t="str">
        <f aca="false">HYPERLINK("https://mncourtfraud.com/file/MCRO_27-CR-21-8229_Finding of Incompetency and Order_2023-05-02_20240430081522.pdf","MCRO_27-CR-21-8229_Finding of Incompetency and Order_2023-05-02_20240430081522.pdf")</f>
        <v>MCRO_27-CR-21-8229_Finding of Incompetency and Order_2023-05-02_20240430081522.pdf</v>
      </c>
      <c r="F73" s="9" t="n">
        <v>45048</v>
      </c>
      <c r="G73" s="1" t="s">
        <v>58</v>
      </c>
      <c r="H73" s="3" t="s">
        <v>59</v>
      </c>
      <c r="I73" s="3" t="s">
        <v>60</v>
      </c>
      <c r="J73" s="3" t="s">
        <v>61</v>
      </c>
      <c r="K73" s="10" t="s">
        <v>62</v>
      </c>
      <c r="L73" s="3" t="s">
        <v>63</v>
      </c>
      <c r="M73" s="3" t="s">
        <v>64</v>
      </c>
      <c r="N73" s="10" t="s">
        <v>65</v>
      </c>
      <c r="O73" s="3" t="s">
        <v>66</v>
      </c>
    </row>
    <row r="74" customFormat="false" ht="18.7" hidden="false" customHeight="true" outlineLevel="0" collapsed="false">
      <c r="A74" s="1" t="n">
        <v>73</v>
      </c>
      <c r="B74" s="7" t="str">
        <f aca="false">HYPERLINK("https://mncourtfraud.com/file/LPK-9.zip","LPK-9.zip")</f>
        <v>LPK-9.zip</v>
      </c>
      <c r="C74" s="8" t="str">
        <f aca="false">HYPERLINK("https://mncourtfraud.com/file/27-CR-21-8230.pdf","27-CR-21-8230")</f>
        <v>27-CR-21-8230</v>
      </c>
      <c r="D74" s="3" t="s">
        <v>15</v>
      </c>
      <c r="E74" s="8" t="str">
        <f aca="false">HYPERLINK("https://mncourtfraud.com/file/MCRO_27-CR-21-8230_Finding of Incompetency and Order_2023-05-02_20240430081640.pdf","MCRO_27-CR-21-8230_Finding of Incompetency and Order_2023-05-02_20240430081640.pdf")</f>
        <v>MCRO_27-CR-21-8230_Finding of Incompetency and Order_2023-05-02_20240430081640.pdf</v>
      </c>
      <c r="F74" s="9" t="n">
        <v>45048</v>
      </c>
      <c r="G74" s="1" t="s">
        <v>58</v>
      </c>
      <c r="H74" s="3" t="s">
        <v>59</v>
      </c>
      <c r="I74" s="3" t="s">
        <v>60</v>
      </c>
      <c r="J74" s="3" t="s">
        <v>61</v>
      </c>
      <c r="K74" s="10" t="s">
        <v>62</v>
      </c>
      <c r="L74" s="3" t="s">
        <v>63</v>
      </c>
      <c r="M74" s="3" t="s">
        <v>64</v>
      </c>
      <c r="N74" s="10" t="s">
        <v>65</v>
      </c>
      <c r="O74" s="3" t="s">
        <v>66</v>
      </c>
    </row>
    <row r="75" customFormat="false" ht="18.7" hidden="false" customHeight="true" outlineLevel="0" collapsed="false">
      <c r="A75" s="1" t="n">
        <v>74</v>
      </c>
      <c r="B75" s="7" t="str">
        <f aca="false">HYPERLINK("https://mncourtfraud.com/file/LPK-9.zip","LPK-9.zip")</f>
        <v>LPK-9.zip</v>
      </c>
      <c r="C75" s="8" t="str">
        <f aca="false">HYPERLINK("https://mncourtfraud.com/file/27-CR-21-8511.pdf","27-CR-21-8511")</f>
        <v>27-CR-21-8511</v>
      </c>
      <c r="D75" s="3" t="s">
        <v>15</v>
      </c>
      <c r="E75" s="8" t="str">
        <f aca="false">HYPERLINK("https://mncourtfraud.com/file/MCRO_27-CR-21-8511_Finding of Incompetency and Order_2023-05-02_20240430082013.pdf","MCRO_27-CR-21-8511_Finding of Incompetency and Order_2023-05-02_20240430082013.pdf")</f>
        <v>MCRO_27-CR-21-8511_Finding of Incompetency and Order_2023-05-02_20240430082013.pdf</v>
      </c>
      <c r="F75" s="9" t="n">
        <v>45048</v>
      </c>
      <c r="G75" s="1" t="s">
        <v>58</v>
      </c>
      <c r="H75" s="3" t="s">
        <v>59</v>
      </c>
      <c r="I75" s="3" t="s">
        <v>60</v>
      </c>
      <c r="J75" s="3" t="s">
        <v>61</v>
      </c>
      <c r="K75" s="10" t="s">
        <v>62</v>
      </c>
      <c r="L75" s="3" t="s">
        <v>63</v>
      </c>
      <c r="M75" s="3" t="s">
        <v>64</v>
      </c>
      <c r="N75" s="10" t="s">
        <v>65</v>
      </c>
      <c r="O75" s="3" t="s">
        <v>66</v>
      </c>
    </row>
    <row r="76" customFormat="false" ht="18.7" hidden="false" customHeight="true" outlineLevel="0" collapsed="false">
      <c r="A76" s="1" t="n">
        <v>75</v>
      </c>
      <c r="B76" s="7" t="str">
        <f aca="false">HYPERLINK("https://mncourtfraud.com/file/LPK-9.zip","LPK-9.zip")</f>
        <v>LPK-9.zip</v>
      </c>
      <c r="C76" s="8" t="str">
        <f aca="false">HYPERLINK("https://mncourtfraud.com/file/27-CR-22-17300.pdf","27-CR-22-17300")</f>
        <v>27-CR-22-17300</v>
      </c>
      <c r="D76" s="3" t="s">
        <v>15</v>
      </c>
      <c r="E76" s="8" t="str">
        <f aca="false">HYPERLINK("https://mncourtfraud.com/file/MCRO_27-CR-22-17300_Finding of Incompetency and Order_2023-05-02_20240429162002.pdf","MCRO_27-CR-22-17300_Finding of Incompetency and Order_2023-05-02_20240429162002.pdf")</f>
        <v>MCRO_27-CR-22-17300_Finding of Incompetency and Order_2023-05-02_20240429162002.pdf</v>
      </c>
      <c r="F76" s="9" t="n">
        <v>45048</v>
      </c>
      <c r="G76" s="1" t="s">
        <v>58</v>
      </c>
      <c r="H76" s="3" t="s">
        <v>59</v>
      </c>
      <c r="I76" s="3" t="s">
        <v>60</v>
      </c>
      <c r="J76" s="3" t="s">
        <v>61</v>
      </c>
      <c r="K76" s="10" t="s">
        <v>62</v>
      </c>
      <c r="L76" s="3" t="s">
        <v>63</v>
      </c>
      <c r="M76" s="3" t="s">
        <v>64</v>
      </c>
      <c r="N76" s="10" t="s">
        <v>65</v>
      </c>
      <c r="O76" s="3" t="s">
        <v>66</v>
      </c>
    </row>
    <row r="77" customFormat="false" ht="18.7" hidden="false" customHeight="true" outlineLevel="0" collapsed="false">
      <c r="A77" s="1" t="n">
        <v>76</v>
      </c>
      <c r="B77" s="7" t="str">
        <f aca="false">HYPERLINK("https://mncourtfraud.com/file/LPK-9.zip","LPK-9.zip")</f>
        <v>LPK-9.zip</v>
      </c>
      <c r="C77" s="8" t="str">
        <f aca="false">HYPERLINK("https://mncourtfraud.com/file/27-CR-22-21679.pdf","27-CR-22-21679")</f>
        <v>27-CR-22-21679</v>
      </c>
      <c r="D77" s="3" t="s">
        <v>15</v>
      </c>
      <c r="E77" s="8" t="str">
        <f aca="false">HYPERLINK("https://mncourtfraud.com/file/MCRO_27-CR-22-21679_Finding of Incompetency and Order_2023-05-02_20240429162858.pdf","MCRO_27-CR-22-21679_Finding of Incompetency and Order_2023-05-02_20240429162858.pdf")</f>
        <v>MCRO_27-CR-22-21679_Finding of Incompetency and Order_2023-05-02_20240429162858.pdf</v>
      </c>
      <c r="F77" s="9" t="n">
        <v>45048</v>
      </c>
      <c r="G77" s="1" t="s">
        <v>58</v>
      </c>
      <c r="H77" s="3" t="s">
        <v>59</v>
      </c>
      <c r="I77" s="3" t="s">
        <v>60</v>
      </c>
      <c r="J77" s="3" t="s">
        <v>61</v>
      </c>
      <c r="K77" s="10" t="s">
        <v>62</v>
      </c>
      <c r="L77" s="3" t="s">
        <v>63</v>
      </c>
      <c r="M77" s="3" t="s">
        <v>64</v>
      </c>
      <c r="N77" s="10" t="s">
        <v>65</v>
      </c>
      <c r="O77" s="3" t="s">
        <v>66</v>
      </c>
    </row>
    <row r="78" customFormat="false" ht="18.7" hidden="false" customHeight="true" outlineLevel="0" collapsed="false">
      <c r="A78" s="1" t="n">
        <v>77</v>
      </c>
      <c r="B78" s="7" t="str">
        <f aca="false">HYPERLINK("https://mncourtfraud.com/file/LPK-9.zip","LPK-9.zip")</f>
        <v>LPK-9.zip</v>
      </c>
      <c r="C78" s="8" t="str">
        <f aca="false">HYPERLINK("https://mncourtfraud.com/file/27-CR-22-24045.pdf","27-CR-22-24045")</f>
        <v>27-CR-22-24045</v>
      </c>
      <c r="D78" s="3" t="s">
        <v>15</v>
      </c>
      <c r="E78" s="8" t="str">
        <f aca="false">HYPERLINK("https://mncourtfraud.com/file/MCRO_27-CR-22-24045_Finding of Incompetency and Order_2023-05-02_20240429164219.pdf","MCRO_27-CR-22-24045_Finding of Incompetency and Order_2023-05-02_20240429164219.pdf")</f>
        <v>MCRO_27-CR-22-24045_Finding of Incompetency and Order_2023-05-02_20240429164219.pdf</v>
      </c>
      <c r="F78" s="9" t="n">
        <v>45048</v>
      </c>
      <c r="G78" s="1" t="s">
        <v>58</v>
      </c>
      <c r="H78" s="3" t="s">
        <v>59</v>
      </c>
      <c r="I78" s="3" t="s">
        <v>60</v>
      </c>
      <c r="J78" s="3" t="s">
        <v>61</v>
      </c>
      <c r="K78" s="10" t="s">
        <v>62</v>
      </c>
      <c r="L78" s="3" t="s">
        <v>63</v>
      </c>
      <c r="M78" s="3" t="s">
        <v>64</v>
      </c>
      <c r="N78" s="10" t="s">
        <v>65</v>
      </c>
      <c r="O78" s="3" t="s">
        <v>66</v>
      </c>
    </row>
    <row r="79" customFormat="false" ht="18.7" hidden="false" customHeight="true" outlineLevel="0" collapsed="false">
      <c r="A79" s="1" t="n">
        <v>78</v>
      </c>
      <c r="B79" s="7" t="str">
        <f aca="false">HYPERLINK("https://mncourtfraud.com/file/LPK-9.zip","LPK-9.zip")</f>
        <v>LPK-9.zip</v>
      </c>
      <c r="C79" s="8" t="str">
        <f aca="false">HYPERLINK("https://mncourtfraud.com/file/27-CR-23-385.pdf","27-CR-23-385")</f>
        <v>27-CR-23-385</v>
      </c>
      <c r="D79" s="3" t="s">
        <v>15</v>
      </c>
      <c r="E79" s="8" t="str">
        <f aca="false">HYPERLINK("https://mncourtfraud.com/file/MCRO_27-CR-23-385_Finding of Incompetency and Order_2023-05-02_20240430071836.pdf","MCRO_27-CR-23-385_Finding of Incompetency and Order_2023-05-02_20240430071836.pdf")</f>
        <v>MCRO_27-CR-23-385_Finding of Incompetency and Order_2023-05-02_20240430071836.pdf</v>
      </c>
      <c r="F79" s="9" t="n">
        <v>45048</v>
      </c>
      <c r="G79" s="1" t="s">
        <v>58</v>
      </c>
      <c r="H79" s="3" t="s">
        <v>59</v>
      </c>
      <c r="I79" s="3" t="s">
        <v>60</v>
      </c>
      <c r="J79" s="3" t="s">
        <v>61</v>
      </c>
      <c r="K79" s="10" t="s">
        <v>62</v>
      </c>
      <c r="L79" s="3" t="s">
        <v>63</v>
      </c>
      <c r="M79" s="3" t="s">
        <v>64</v>
      </c>
      <c r="N79" s="10" t="s">
        <v>65</v>
      </c>
      <c r="O79" s="3" t="s">
        <v>66</v>
      </c>
    </row>
    <row r="80" customFormat="false" ht="18.7" hidden="false" customHeight="true" outlineLevel="0" collapsed="false">
      <c r="A80" s="1" t="n">
        <v>79</v>
      </c>
      <c r="B80" s="7" t="str">
        <f aca="false">HYPERLINK("https://mncourtfraud.com/file/LPK-9.zip","LPK-9.zip")</f>
        <v>LPK-9.zip</v>
      </c>
      <c r="C80" s="8" t="str">
        <f aca="false">HYPERLINK("https://mncourtfraud.com/file/27-CR-23-5751.pdf","27-CR-23-5751")</f>
        <v>27-CR-23-5751</v>
      </c>
      <c r="D80" s="3" t="s">
        <v>15</v>
      </c>
      <c r="E80" s="8" t="str">
        <f aca="false">HYPERLINK("https://mncourtfraud.com/file/MCRO_27-CR-23-5751_Finding of Incompetency and Order_2023-05-02_20240430073242.pdf","MCRO_27-CR-23-5751_Finding of Incompetency and Order_2023-05-02_20240430073242.pdf")</f>
        <v>MCRO_27-CR-23-5751_Finding of Incompetency and Order_2023-05-02_20240430073242.pdf</v>
      </c>
      <c r="F80" s="9" t="n">
        <v>45048</v>
      </c>
      <c r="G80" s="1" t="s">
        <v>58</v>
      </c>
      <c r="H80" s="3" t="s">
        <v>59</v>
      </c>
      <c r="I80" s="3" t="s">
        <v>60</v>
      </c>
      <c r="J80" s="3" t="s">
        <v>61</v>
      </c>
      <c r="K80" s="10" t="s">
        <v>62</v>
      </c>
      <c r="L80" s="3" t="s">
        <v>63</v>
      </c>
      <c r="M80" s="3" t="s">
        <v>64</v>
      </c>
      <c r="N80" s="10" t="s">
        <v>65</v>
      </c>
      <c r="O80" s="3" t="s">
        <v>66</v>
      </c>
    </row>
    <row r="81" customFormat="false" ht="18.7" hidden="false" customHeight="true" outlineLevel="0" collapsed="false">
      <c r="A81" s="1" t="n">
        <v>80</v>
      </c>
      <c r="F81" s="9"/>
      <c r="K81" s="10"/>
      <c r="N81" s="10"/>
    </row>
    <row r="82" customFormat="false" ht="18.7" hidden="false" customHeight="true" outlineLevel="0" collapsed="false">
      <c r="A82" s="1" t="n">
        <v>81</v>
      </c>
      <c r="B82" s="7" t="str">
        <f aca="false">HYPERLINK("https://mncourtfraud.com/file/LPK-10.zip","LPK-10.zip")</f>
        <v>LPK-10.zip</v>
      </c>
      <c r="C82" s="8" t="str">
        <f aca="false">HYPERLINK("https://mncourtfraud.com/file/27-CR-21-8067.pdf","27-CR-21-8067")</f>
        <v>27-CR-21-8067</v>
      </c>
      <c r="D82" s="3" t="s">
        <v>15</v>
      </c>
      <c r="E82" s="8" t="str">
        <f aca="false">HYPERLINK("https://mncourtfraud.com/file/MCRO_27-CR-21-8067_Order for Conditional Release_2023-05-16_20240430080637.pdf","MCRO_27-CR-21-8067_Order for Conditional Release_2023-05-16_20240430080637.pdf")</f>
        <v>MCRO_27-CR-21-8067_Order for Conditional Release_2023-05-16_20240430080637.pdf</v>
      </c>
      <c r="F82" s="9" t="n">
        <v>45062</v>
      </c>
      <c r="G82" s="1" t="s">
        <v>67</v>
      </c>
      <c r="H82" s="3" t="s">
        <v>68</v>
      </c>
      <c r="I82" s="3" t="s">
        <v>69</v>
      </c>
      <c r="J82" s="3" t="s">
        <v>55</v>
      </c>
      <c r="K82" s="10" t="s">
        <v>70</v>
      </c>
      <c r="L82" s="3" t="s">
        <v>71</v>
      </c>
      <c r="N82" s="10"/>
    </row>
    <row r="83" customFormat="false" ht="18.7" hidden="false" customHeight="true" outlineLevel="0" collapsed="false">
      <c r="A83" s="1" t="n">
        <v>82</v>
      </c>
      <c r="B83" s="7" t="str">
        <f aca="false">HYPERLINK("https://mncourtfraud.com/file/LPK-10.zip","LPK-10.zip")</f>
        <v>LPK-10.zip</v>
      </c>
      <c r="C83" s="8" t="str">
        <f aca="false">HYPERLINK("https://mncourtfraud.com/file/27-CR-21-8227.pdf","27-CR-21-8227")</f>
        <v>27-CR-21-8227</v>
      </c>
      <c r="D83" s="3" t="s">
        <v>15</v>
      </c>
      <c r="E83" s="8" t="str">
        <f aca="false">HYPERLINK("https://mncourtfraud.com/file/MCRO_27-CR-21-8227_Order for Conditional Release_2023-05-16_20240430080731.pdf","MCRO_27-CR-21-8227_Order for Conditional Release_2023-05-16_20240430080731.pdf")</f>
        <v>MCRO_27-CR-21-8227_Order for Conditional Release_2023-05-16_20240430080731.pdf</v>
      </c>
      <c r="F83" s="9" t="n">
        <v>45062</v>
      </c>
      <c r="G83" s="1" t="s">
        <v>67</v>
      </c>
      <c r="H83" s="3" t="s">
        <v>68</v>
      </c>
      <c r="I83" s="3" t="s">
        <v>69</v>
      </c>
      <c r="J83" s="3" t="s">
        <v>55</v>
      </c>
      <c r="K83" s="10" t="s">
        <v>70</v>
      </c>
      <c r="L83" s="3" t="s">
        <v>71</v>
      </c>
      <c r="N83" s="10"/>
    </row>
    <row r="84" customFormat="false" ht="18.7" hidden="false" customHeight="true" outlineLevel="0" collapsed="false">
      <c r="A84" s="1" t="n">
        <v>83</v>
      </c>
      <c r="B84" s="7" t="str">
        <f aca="false">HYPERLINK("https://mncourtfraud.com/file/LPK-10.zip","LPK-10.zip")</f>
        <v>LPK-10.zip</v>
      </c>
      <c r="C84" s="8" t="str">
        <f aca="false">HYPERLINK("https://mncourtfraud.com/file/27-CR-21-8228.pdf","27-CR-21-8228")</f>
        <v>27-CR-21-8228</v>
      </c>
      <c r="D84" s="3" t="s">
        <v>15</v>
      </c>
      <c r="E84" s="8" t="str">
        <f aca="false">HYPERLINK("https://mncourtfraud.com/file/MCRO_27-CR-21-8228_Order for Conditional Release_2023-05-16_20240430080824.pdf","MCRO_27-CR-21-8228_Order for Conditional Release_2023-05-16_20240430080824.pdf")</f>
        <v>MCRO_27-CR-21-8228_Order for Conditional Release_2023-05-16_20240430080824.pdf</v>
      </c>
      <c r="F84" s="9" t="n">
        <v>45062</v>
      </c>
      <c r="G84" s="1" t="s">
        <v>67</v>
      </c>
      <c r="H84" s="3" t="s">
        <v>68</v>
      </c>
      <c r="I84" s="3" t="s">
        <v>69</v>
      </c>
      <c r="J84" s="3" t="s">
        <v>55</v>
      </c>
      <c r="K84" s="10" t="s">
        <v>70</v>
      </c>
      <c r="L84" s="3" t="s">
        <v>71</v>
      </c>
      <c r="N84" s="10"/>
    </row>
    <row r="85" customFormat="false" ht="18.7" hidden="false" customHeight="true" outlineLevel="0" collapsed="false">
      <c r="A85" s="1" t="n">
        <v>84</v>
      </c>
      <c r="B85" s="7" t="str">
        <f aca="false">HYPERLINK("https://mncourtfraud.com/file/LPK-10.zip","LPK-10.zip")</f>
        <v>LPK-10.zip</v>
      </c>
      <c r="C85" s="8" t="str">
        <f aca="false">HYPERLINK("https://mncourtfraud.com/file/27-CR-21-8229.pdf","27-CR-21-8229")</f>
        <v>27-CR-21-8229</v>
      </c>
      <c r="D85" s="3" t="s">
        <v>15</v>
      </c>
      <c r="E85" s="8" t="str">
        <f aca="false">HYPERLINK("https://mncourtfraud.com/file/MCRO_27-CR-21-8229_Order for Conditional Release_2023-05-16_20240430081521.pdf","MCRO_27-CR-21-8229_Order for Conditional Release_2023-05-16_20240430081521.pdf")</f>
        <v>MCRO_27-CR-21-8229_Order for Conditional Release_2023-05-16_20240430081521.pdf</v>
      </c>
      <c r="F85" s="9" t="n">
        <v>45062</v>
      </c>
      <c r="G85" s="1" t="s">
        <v>67</v>
      </c>
      <c r="H85" s="3" t="s">
        <v>68</v>
      </c>
      <c r="I85" s="3" t="s">
        <v>69</v>
      </c>
      <c r="J85" s="3" t="s">
        <v>55</v>
      </c>
      <c r="K85" s="10" t="s">
        <v>70</v>
      </c>
      <c r="L85" s="3" t="s">
        <v>71</v>
      </c>
      <c r="N85" s="10"/>
    </row>
    <row r="86" customFormat="false" ht="18.7" hidden="false" customHeight="true" outlineLevel="0" collapsed="false">
      <c r="A86" s="1" t="n">
        <v>85</v>
      </c>
      <c r="B86" s="7" t="str">
        <f aca="false">HYPERLINK("https://mncourtfraud.com/file/LPK-10.zip","LPK-10.zip")</f>
        <v>LPK-10.zip</v>
      </c>
      <c r="C86" s="8" t="str">
        <f aca="false">HYPERLINK("https://mncourtfraud.com/file/27-CR-21-8230.pdf","27-CR-21-8230")</f>
        <v>27-CR-21-8230</v>
      </c>
      <c r="D86" s="3" t="s">
        <v>15</v>
      </c>
      <c r="E86" s="8" t="str">
        <f aca="false">HYPERLINK("https://mncourtfraud.com/file/MCRO_27-CR-21-8230_Order for Conditional Release_2023-05-16_20240430081639.pdf","MCRO_27-CR-21-8230_Order for Conditional Release_2023-05-16_20240430081639.pdf")</f>
        <v>MCRO_27-CR-21-8230_Order for Conditional Release_2023-05-16_20240430081639.pdf</v>
      </c>
      <c r="F86" s="9" t="n">
        <v>45062</v>
      </c>
      <c r="G86" s="1" t="s">
        <v>67</v>
      </c>
      <c r="H86" s="3" t="s">
        <v>68</v>
      </c>
      <c r="I86" s="3" t="s">
        <v>69</v>
      </c>
      <c r="J86" s="3" t="s">
        <v>55</v>
      </c>
      <c r="K86" s="10" t="s">
        <v>70</v>
      </c>
      <c r="L86" s="3" t="s">
        <v>71</v>
      </c>
      <c r="N86" s="10"/>
    </row>
    <row r="87" customFormat="false" ht="18.7" hidden="false" customHeight="true" outlineLevel="0" collapsed="false">
      <c r="A87" s="1" t="n">
        <v>86</v>
      </c>
      <c r="B87" s="7" t="str">
        <f aca="false">HYPERLINK("https://mncourtfraud.com/file/LPK-10.zip","LPK-10.zip")</f>
        <v>LPK-10.zip</v>
      </c>
      <c r="C87" s="8" t="str">
        <f aca="false">HYPERLINK("https://mncourtfraud.com/file/27-CR-22-17300.pdf","27-CR-22-17300")</f>
        <v>27-CR-22-17300</v>
      </c>
      <c r="D87" s="3" t="s">
        <v>15</v>
      </c>
      <c r="E87" s="8" t="str">
        <f aca="false">HYPERLINK("https://mncourtfraud.com/file/MCRO_27-CR-22-17300_Order for Conditional Release_2023-05-16_20240429162001.pdf","MCRO_27-CR-22-17300_Order for Conditional Release_2023-05-16_20240429162001.pdf")</f>
        <v>MCRO_27-CR-22-17300_Order for Conditional Release_2023-05-16_20240429162001.pdf</v>
      </c>
      <c r="F87" s="9" t="n">
        <v>45062</v>
      </c>
      <c r="G87" s="1" t="s">
        <v>67</v>
      </c>
      <c r="H87" s="3" t="s">
        <v>68</v>
      </c>
      <c r="I87" s="3" t="s">
        <v>69</v>
      </c>
      <c r="J87" s="3" t="s">
        <v>55</v>
      </c>
      <c r="K87" s="10" t="s">
        <v>70</v>
      </c>
      <c r="L87" s="3" t="s">
        <v>71</v>
      </c>
      <c r="N87" s="10"/>
    </row>
    <row r="88" customFormat="false" ht="18.7" hidden="false" customHeight="true" outlineLevel="0" collapsed="false">
      <c r="A88" s="1" t="n">
        <v>87</v>
      </c>
      <c r="B88" s="7" t="str">
        <f aca="false">HYPERLINK("https://mncourtfraud.com/file/LPK-10.zip","LPK-10.zip")</f>
        <v>LPK-10.zip</v>
      </c>
      <c r="C88" s="8" t="str">
        <f aca="false">HYPERLINK("https://mncourtfraud.com/file/27-CR-23-5751.pdf","27-CR-23-5751")</f>
        <v>27-CR-23-5751</v>
      </c>
      <c r="D88" s="3" t="s">
        <v>15</v>
      </c>
      <c r="E88" s="8" t="str">
        <f aca="false">HYPERLINK("https://mncourtfraud.com/file/MCRO_27-CR-23-5751_Order for Conditional Release_2023-05-16_20240430073241.pdf","MCRO_27-CR-23-5751_Order for Conditional Release_2023-05-16_20240430073241.pdf")</f>
        <v>MCRO_27-CR-23-5751_Order for Conditional Release_2023-05-16_20240430073241.pdf</v>
      </c>
      <c r="F88" s="9" t="n">
        <v>45062</v>
      </c>
      <c r="G88" s="1" t="s">
        <v>67</v>
      </c>
      <c r="H88" s="3" t="s">
        <v>68</v>
      </c>
      <c r="I88" s="3" t="s">
        <v>69</v>
      </c>
      <c r="J88" s="3" t="s">
        <v>55</v>
      </c>
      <c r="K88" s="10" t="s">
        <v>70</v>
      </c>
      <c r="L88" s="3" t="s">
        <v>71</v>
      </c>
      <c r="N88" s="10"/>
    </row>
    <row r="89" customFormat="false" ht="18.7" hidden="false" customHeight="true" outlineLevel="0" collapsed="false">
      <c r="A89" s="1" t="n">
        <v>88</v>
      </c>
      <c r="F89" s="9"/>
      <c r="K89" s="10"/>
      <c r="N89" s="10"/>
    </row>
    <row r="90" customFormat="false" ht="18.7" hidden="false" customHeight="true" outlineLevel="0" collapsed="false">
      <c r="A90" s="1" t="n">
        <v>89</v>
      </c>
      <c r="B90" s="7" t="str">
        <f aca="false">HYPERLINK("https://mncourtfraud.com/file/LPK-11.zip","LPK-11.zip")</f>
        <v>LPK-11.zip</v>
      </c>
      <c r="C90" s="8" t="str">
        <f aca="false">HYPERLINK("https://mncourtfraud.com/file/27-CR-21-6904.pdf","27-CR-21-6904")</f>
        <v>27-CR-21-6904</v>
      </c>
      <c r="D90" s="3" t="s">
        <v>15</v>
      </c>
      <c r="E90" s="8" t="str">
        <f aca="false">HYPERLINK("https://mncourtfraud.com/file/MCRO_27-CR-21-6904_Order-Evaluation for Competency to Proceed (Rule 20.01)_2023-08-22_20240430080455.pdf","MCRO_27-CR-21-6904_Order-Evaluation for Competency to Proceed (Rule 20.01)_2023-08-22_20240430080455.pdf")</f>
        <v>MCRO_27-CR-21-6904_Order-Evaluation for Competency to Proceed (Rule 20.01)_2023-08-22_20240430080455.pdf</v>
      </c>
      <c r="F90" s="9" t="n">
        <v>45160</v>
      </c>
      <c r="G90" s="1" t="s">
        <v>72</v>
      </c>
      <c r="H90" s="3" t="s">
        <v>73</v>
      </c>
      <c r="I90" s="3" t="s">
        <v>74</v>
      </c>
      <c r="J90" s="3" t="s">
        <v>55</v>
      </c>
      <c r="K90" s="10" t="s">
        <v>75</v>
      </c>
      <c r="L90" s="3" t="s">
        <v>76</v>
      </c>
      <c r="N90" s="10"/>
    </row>
    <row r="91" customFormat="false" ht="18.7" hidden="false" customHeight="true" outlineLevel="0" collapsed="false">
      <c r="A91" s="1" t="n">
        <v>90</v>
      </c>
      <c r="B91" s="7" t="str">
        <f aca="false">HYPERLINK("https://mncourtfraud.com/file/LPK-11.zip","LPK-11.zip")</f>
        <v>LPK-11.zip</v>
      </c>
      <c r="C91" s="8" t="str">
        <f aca="false">HYPERLINK("https://mncourtfraud.com/file/27-CR-21-8067.pdf","27-CR-21-8067")</f>
        <v>27-CR-21-8067</v>
      </c>
      <c r="D91" s="3" t="s">
        <v>15</v>
      </c>
      <c r="E91" s="8" t="str">
        <f aca="false">HYPERLINK("https://mncourtfraud.com/file/MCRO_27-CR-21-8067_Order-Evaluation for Competency to Proceed (Rule 20.01)_2023-08-22_20240430080636.pdf","MCRO_27-CR-21-8067_Order-Evaluation for Competency to Proceed (Rule 20.01)_2023-08-22_20240430080636.pdf")</f>
        <v>MCRO_27-CR-21-8067_Order-Evaluation for Competency to Proceed (Rule 20.01)_2023-08-22_20240430080636.pdf</v>
      </c>
      <c r="F91" s="9" t="n">
        <v>45160</v>
      </c>
      <c r="G91" s="1" t="s">
        <v>72</v>
      </c>
      <c r="H91" s="3" t="s">
        <v>73</v>
      </c>
      <c r="I91" s="3" t="s">
        <v>74</v>
      </c>
      <c r="J91" s="3" t="s">
        <v>55</v>
      </c>
      <c r="K91" s="10" t="s">
        <v>75</v>
      </c>
      <c r="L91" s="3" t="s">
        <v>76</v>
      </c>
      <c r="N91" s="10"/>
    </row>
    <row r="92" customFormat="false" ht="18.7" hidden="false" customHeight="true" outlineLevel="0" collapsed="false">
      <c r="A92" s="1" t="n">
        <v>91</v>
      </c>
      <c r="B92" s="7" t="str">
        <f aca="false">HYPERLINK("https://mncourtfraud.com/file/LPK-11.zip","LPK-11.zip")</f>
        <v>LPK-11.zip</v>
      </c>
      <c r="C92" s="8" t="str">
        <f aca="false">HYPERLINK("https://mncourtfraud.com/file/27-CR-21-8227.pdf","27-CR-21-8227")</f>
        <v>27-CR-21-8227</v>
      </c>
      <c r="D92" s="3" t="s">
        <v>15</v>
      </c>
      <c r="E92" s="8" t="str">
        <f aca="false">HYPERLINK("https://mncourtfraud.com/file/MCRO_27-CR-21-8227_Order-Evaluation for Competency to Proceed (Rule 20.01)_2023-08-22_20240430080730.pdf","MCRO_27-CR-21-8227_Order-Evaluation for Competency to Proceed (Rule 20.01)_2023-08-22_20240430080730.pdf")</f>
        <v>MCRO_27-CR-21-8227_Order-Evaluation for Competency to Proceed (Rule 20.01)_2023-08-22_20240430080730.pdf</v>
      </c>
      <c r="F92" s="9" t="n">
        <v>45160</v>
      </c>
      <c r="G92" s="1" t="s">
        <v>72</v>
      </c>
      <c r="H92" s="3" t="s">
        <v>73</v>
      </c>
      <c r="I92" s="3" t="s">
        <v>74</v>
      </c>
      <c r="J92" s="3" t="s">
        <v>55</v>
      </c>
      <c r="K92" s="10" t="s">
        <v>75</v>
      </c>
      <c r="L92" s="3" t="s">
        <v>76</v>
      </c>
      <c r="N92" s="10"/>
    </row>
    <row r="93" customFormat="false" ht="18.7" hidden="false" customHeight="true" outlineLevel="0" collapsed="false">
      <c r="A93" s="1" t="n">
        <v>92</v>
      </c>
      <c r="B93" s="7" t="str">
        <f aca="false">HYPERLINK("https://mncourtfraud.com/file/LPK-11.zip","LPK-11.zip")</f>
        <v>LPK-11.zip</v>
      </c>
      <c r="C93" s="8" t="str">
        <f aca="false">HYPERLINK("https://mncourtfraud.com/file/27-CR-21-8228.pdf","27-CR-21-8228")</f>
        <v>27-CR-21-8228</v>
      </c>
      <c r="D93" s="3" t="s">
        <v>15</v>
      </c>
      <c r="E93" s="8" t="str">
        <f aca="false">HYPERLINK("https://mncourtfraud.com/file/MCRO_27-CR-21-8228_Order-Evaluation for Competency to Proceed (Rule 20.01)_2023-08-22_20240430080822.pdf","MCRO_27-CR-21-8228_Order-Evaluation for Competency to Proceed (Rule 20.01)_2023-08-22_20240430080822.pdf")</f>
        <v>MCRO_27-CR-21-8228_Order-Evaluation for Competency to Proceed (Rule 20.01)_2023-08-22_20240430080822.pdf</v>
      </c>
      <c r="F93" s="9" t="n">
        <v>45160</v>
      </c>
      <c r="G93" s="1" t="s">
        <v>72</v>
      </c>
      <c r="H93" s="3" t="s">
        <v>73</v>
      </c>
      <c r="I93" s="3" t="s">
        <v>74</v>
      </c>
      <c r="J93" s="3" t="s">
        <v>55</v>
      </c>
      <c r="K93" s="10" t="s">
        <v>75</v>
      </c>
      <c r="L93" s="3" t="s">
        <v>76</v>
      </c>
      <c r="N93" s="10"/>
    </row>
    <row r="94" customFormat="false" ht="18.7" hidden="false" customHeight="true" outlineLevel="0" collapsed="false">
      <c r="A94" s="1" t="n">
        <v>93</v>
      </c>
      <c r="B94" s="7" t="str">
        <f aca="false">HYPERLINK("https://mncourtfraud.com/file/LPK-11.zip","LPK-11.zip")</f>
        <v>LPK-11.zip</v>
      </c>
      <c r="C94" s="8" t="str">
        <f aca="false">HYPERLINK("https://mncourtfraud.com/file/27-CR-21-8229.pdf","27-CR-21-8229")</f>
        <v>27-CR-21-8229</v>
      </c>
      <c r="D94" s="3" t="s">
        <v>15</v>
      </c>
      <c r="E94" s="8" t="str">
        <f aca="false">HYPERLINK("https://mncourtfraud.com/file/MCRO_27-CR-21-8229_Order-Evaluation for Competency to Proceed (Rule 20.01)_2023-08-22_20240430081520.pdf","MCRO_27-CR-21-8229_Order-Evaluation for Competency to Proceed (Rule 20.01)_2023-08-22_20240430081520.pdf")</f>
        <v>MCRO_27-CR-21-8229_Order-Evaluation for Competency to Proceed (Rule 20.01)_2023-08-22_20240430081520.pdf</v>
      </c>
      <c r="F94" s="9" t="n">
        <v>45160</v>
      </c>
      <c r="G94" s="1" t="s">
        <v>72</v>
      </c>
      <c r="H94" s="3" t="s">
        <v>73</v>
      </c>
      <c r="I94" s="3" t="s">
        <v>74</v>
      </c>
      <c r="J94" s="3" t="s">
        <v>55</v>
      </c>
      <c r="K94" s="10" t="s">
        <v>75</v>
      </c>
      <c r="L94" s="3" t="s">
        <v>76</v>
      </c>
      <c r="N94" s="10"/>
    </row>
    <row r="95" customFormat="false" ht="18.7" hidden="false" customHeight="true" outlineLevel="0" collapsed="false">
      <c r="A95" s="1" t="n">
        <v>94</v>
      </c>
      <c r="B95" s="7" t="str">
        <f aca="false">HYPERLINK("https://mncourtfraud.com/file/LPK-11.zip","LPK-11.zip")</f>
        <v>LPK-11.zip</v>
      </c>
      <c r="C95" s="8" t="str">
        <f aca="false">HYPERLINK("https://mncourtfraud.com/file/27-CR-21-8230.pdf","27-CR-21-8230")</f>
        <v>27-CR-21-8230</v>
      </c>
      <c r="D95" s="3" t="s">
        <v>15</v>
      </c>
      <c r="E95" s="8" t="str">
        <f aca="false">HYPERLINK("https://mncourtfraud.com/file/MCRO_27-CR-21-8230_Order-Evaluation for Competency to Proceed (Rule 20.01)_2023-08-22_20240430081638.pdf","MCRO_27-CR-21-8230_Order-Evaluation for Competency to Proceed (Rule 20.01)_2023-08-22_20240430081638.pdf")</f>
        <v>MCRO_27-CR-21-8230_Order-Evaluation for Competency to Proceed (Rule 20.01)_2023-08-22_20240430081638.pdf</v>
      </c>
      <c r="F95" s="9" t="n">
        <v>45160</v>
      </c>
      <c r="G95" s="1" t="s">
        <v>72</v>
      </c>
      <c r="H95" s="3" t="s">
        <v>73</v>
      </c>
      <c r="I95" s="3" t="s">
        <v>74</v>
      </c>
      <c r="J95" s="3" t="s">
        <v>55</v>
      </c>
      <c r="K95" s="10" t="s">
        <v>75</v>
      </c>
      <c r="L95" s="3" t="s">
        <v>76</v>
      </c>
      <c r="N95" s="10"/>
    </row>
    <row r="96" customFormat="false" ht="18.7" hidden="false" customHeight="true" outlineLevel="0" collapsed="false">
      <c r="A96" s="1" t="n">
        <v>95</v>
      </c>
      <c r="B96" s="7" t="str">
        <f aca="false">HYPERLINK("https://mncourtfraud.com/file/LPK-11.zip","LPK-11.zip")</f>
        <v>LPK-11.zip</v>
      </c>
      <c r="C96" s="8" t="str">
        <f aca="false">HYPERLINK("https://mncourtfraud.com/file/27-CR-21-8511.pdf","27-CR-21-8511")</f>
        <v>27-CR-21-8511</v>
      </c>
      <c r="D96" s="3" t="s">
        <v>15</v>
      </c>
      <c r="E96" s="8" t="str">
        <f aca="false">HYPERLINK("https://mncourtfraud.com/file/MCRO_27-CR-21-8511_Order-Evaluation for Competency to Proceed (Rule 20.01)_2023-08-22_20240430082012.pdf","MCRO_27-CR-21-8511_Order-Evaluation for Competency to Proceed (Rule 20.01)_2023-08-22_20240430082012.pdf")</f>
        <v>MCRO_27-CR-21-8511_Order-Evaluation for Competency to Proceed (Rule 20.01)_2023-08-22_20240430082012.pdf</v>
      </c>
      <c r="F96" s="9" t="n">
        <v>45160</v>
      </c>
      <c r="G96" s="1" t="s">
        <v>72</v>
      </c>
      <c r="H96" s="3" t="s">
        <v>73</v>
      </c>
      <c r="I96" s="3" t="s">
        <v>74</v>
      </c>
      <c r="J96" s="3" t="s">
        <v>55</v>
      </c>
      <c r="K96" s="10" t="s">
        <v>75</v>
      </c>
      <c r="L96" s="3" t="s">
        <v>76</v>
      </c>
      <c r="N96" s="10"/>
    </row>
    <row r="97" customFormat="false" ht="18.7" hidden="false" customHeight="true" outlineLevel="0" collapsed="false">
      <c r="A97" s="1" t="n">
        <v>96</v>
      </c>
      <c r="B97" s="7" t="str">
        <f aca="false">HYPERLINK("https://mncourtfraud.com/file/LPK-11.zip","LPK-11.zip")</f>
        <v>LPK-11.zip</v>
      </c>
      <c r="C97" s="8" t="str">
        <f aca="false">HYPERLINK("https://mncourtfraud.com/file/27-CR-22-17300.pdf","27-CR-22-17300")</f>
        <v>27-CR-22-17300</v>
      </c>
      <c r="D97" s="3" t="s">
        <v>15</v>
      </c>
      <c r="E97" s="8" t="str">
        <f aca="false">HYPERLINK("https://mncourtfraud.com/file/MCRO_27-CR-22-17300_Order-Evaluation for Competency to Proceed (Rule 20.01)_2023-08-22_20240429162000.pdf","MCRO_27-CR-22-17300_Order-Evaluation for Competency to Proceed (Rule 20.01)_2023-08-22_20240429162000.pdf")</f>
        <v>MCRO_27-CR-22-17300_Order-Evaluation for Competency to Proceed (Rule 20.01)_2023-08-22_20240429162000.pdf</v>
      </c>
      <c r="F97" s="9" t="n">
        <v>45160</v>
      </c>
      <c r="G97" s="1" t="s">
        <v>72</v>
      </c>
      <c r="H97" s="3" t="s">
        <v>73</v>
      </c>
      <c r="I97" s="3" t="s">
        <v>74</v>
      </c>
      <c r="J97" s="3" t="s">
        <v>55</v>
      </c>
      <c r="K97" s="10" t="s">
        <v>75</v>
      </c>
      <c r="L97" s="3" t="s">
        <v>76</v>
      </c>
      <c r="N97" s="10"/>
    </row>
    <row r="98" customFormat="false" ht="18.7" hidden="false" customHeight="true" outlineLevel="0" collapsed="false">
      <c r="A98" s="1" t="n">
        <v>97</v>
      </c>
      <c r="B98" s="7" t="str">
        <f aca="false">HYPERLINK("https://mncourtfraud.com/file/LPK-11.zip","LPK-11.zip")</f>
        <v>LPK-11.zip</v>
      </c>
      <c r="C98" s="8" t="str">
        <f aca="false">HYPERLINK("https://mncourtfraud.com/file/27-CR-23-5751.pdf","27-CR-23-5751")</f>
        <v>27-CR-23-5751</v>
      </c>
      <c r="D98" s="3" t="s">
        <v>15</v>
      </c>
      <c r="E98" s="8" t="str">
        <f aca="false">HYPERLINK("https://mncourtfraud.com/file/MCRO_27-CR-23-5751_Order-Evaluation for Competency to Proceed (Rule 20.01)_2023-08-22_20240430073240.pdf","MCRO_27-CR-23-5751_Order-Evaluation for Competency to Proceed (Rule 20.01)_2023-08-22_20240430073240.pdf")</f>
        <v>MCRO_27-CR-23-5751_Order-Evaluation for Competency to Proceed (Rule 20.01)_2023-08-22_20240430073240.pdf</v>
      </c>
      <c r="F98" s="9" t="n">
        <v>45160</v>
      </c>
      <c r="G98" s="1" t="s">
        <v>72</v>
      </c>
      <c r="H98" s="3" t="s">
        <v>73</v>
      </c>
      <c r="I98" s="3" t="s">
        <v>74</v>
      </c>
      <c r="J98" s="3" t="s">
        <v>55</v>
      </c>
      <c r="K98" s="10" t="s">
        <v>75</v>
      </c>
      <c r="L98" s="3" t="s">
        <v>76</v>
      </c>
      <c r="N98" s="10"/>
    </row>
    <row r="99" customFormat="false" ht="18.7" hidden="false" customHeight="true" outlineLevel="0" collapsed="false">
      <c r="A99" s="1" t="n">
        <v>98</v>
      </c>
      <c r="F99" s="9"/>
      <c r="K99" s="10"/>
      <c r="N99" s="10"/>
    </row>
    <row r="100" customFormat="false" ht="18.7" hidden="false" customHeight="true" outlineLevel="0" collapsed="false">
      <c r="A100" s="1" t="n">
        <v>99</v>
      </c>
      <c r="B100" s="7" t="str">
        <f aca="false">HYPERLINK("https://mncourtfraud.com/file/LPK-12.zip","LPK-12.zip")</f>
        <v>LPK-12.zip</v>
      </c>
      <c r="C100" s="8" t="str">
        <f aca="false">HYPERLINK("https://mncourtfraud.com/file/27-CR-21-6904.pdf","27-CR-21-6904")</f>
        <v>27-CR-21-6904</v>
      </c>
      <c r="D100" s="3" t="s">
        <v>15</v>
      </c>
      <c r="E100" s="8" t="str">
        <f aca="false">HYPERLINK("https://mncourtfraud.com/file/MCRO_27-CR-21-6904_Finding of Incompetency and Order_2023-11-01_20240430080453.pdf","MCRO_27-CR-21-6904_Finding of Incompetency and Order_2023-11-01_20240430080453.pdf")</f>
        <v>MCRO_27-CR-21-6904_Finding of Incompetency and Order_2023-11-01_20240430080453.pdf</v>
      </c>
      <c r="F100" s="9" t="n">
        <v>45231</v>
      </c>
      <c r="G100" s="1" t="s">
        <v>77</v>
      </c>
      <c r="H100" s="3" t="s">
        <v>78</v>
      </c>
      <c r="I100" s="3" t="s">
        <v>79</v>
      </c>
      <c r="J100" s="3" t="s">
        <v>64</v>
      </c>
      <c r="K100" s="10" t="s">
        <v>80</v>
      </c>
      <c r="L100" s="3" t="s">
        <v>81</v>
      </c>
      <c r="N100" s="10"/>
    </row>
    <row r="101" customFormat="false" ht="18.7" hidden="false" customHeight="true" outlineLevel="0" collapsed="false">
      <c r="A101" s="1" t="n">
        <v>100</v>
      </c>
      <c r="B101" s="7" t="str">
        <f aca="false">HYPERLINK("https://mncourtfraud.com/file/LPK-12.zip","LPK-12.zip")</f>
        <v>LPK-12.zip</v>
      </c>
      <c r="C101" s="8" t="str">
        <f aca="false">HYPERLINK("https://mncourtfraud.com/file/27-CR-21-8067.pdf","27-CR-21-8067")</f>
        <v>27-CR-21-8067</v>
      </c>
      <c r="D101" s="3" t="s">
        <v>15</v>
      </c>
      <c r="E101" s="8" t="str">
        <f aca="false">HYPERLINK("https://mncourtfraud.com/file/MCRO_27-CR-21-8067_Finding of Incompetency and Order_2023-11-01_20240430080635.pdf","MCRO_27-CR-21-8067_Finding of Incompetency and Order_2023-11-01_20240430080635.pdf")</f>
        <v>MCRO_27-CR-21-8067_Finding of Incompetency and Order_2023-11-01_20240430080635.pdf</v>
      </c>
      <c r="F101" s="9" t="n">
        <v>45231</v>
      </c>
      <c r="G101" s="1" t="s">
        <v>77</v>
      </c>
      <c r="H101" s="3" t="s">
        <v>78</v>
      </c>
      <c r="I101" s="3" t="s">
        <v>79</v>
      </c>
      <c r="J101" s="3" t="s">
        <v>64</v>
      </c>
      <c r="K101" s="10" t="s">
        <v>80</v>
      </c>
      <c r="L101" s="3" t="s">
        <v>81</v>
      </c>
      <c r="N101" s="10"/>
    </row>
    <row r="102" customFormat="false" ht="18.7" hidden="false" customHeight="true" outlineLevel="0" collapsed="false">
      <c r="A102" s="1" t="n">
        <v>101</v>
      </c>
      <c r="B102" s="7" t="str">
        <f aca="false">HYPERLINK("https://mncourtfraud.com/file/LPK-12.zip","LPK-12.zip")</f>
        <v>LPK-12.zip</v>
      </c>
      <c r="C102" s="8" t="str">
        <f aca="false">HYPERLINK("https://mncourtfraud.com/file/27-CR-21-8227.pdf","27-CR-21-8227")</f>
        <v>27-CR-21-8227</v>
      </c>
      <c r="D102" s="3" t="s">
        <v>15</v>
      </c>
      <c r="E102" s="8" t="str">
        <f aca="false">HYPERLINK("https://mncourtfraud.com/file/MCRO_27-CR-21-8227_Finding of Incompetency and Order_2023-11-01_20240430080729.pdf","MCRO_27-CR-21-8227_Finding of Incompetency and Order_2023-11-01_20240430080729.pdf")</f>
        <v>MCRO_27-CR-21-8227_Finding of Incompetency and Order_2023-11-01_20240430080729.pdf</v>
      </c>
      <c r="F102" s="9" t="n">
        <v>45231</v>
      </c>
      <c r="G102" s="1" t="s">
        <v>77</v>
      </c>
      <c r="H102" s="3" t="s">
        <v>78</v>
      </c>
      <c r="I102" s="3" t="s">
        <v>79</v>
      </c>
      <c r="J102" s="3" t="s">
        <v>64</v>
      </c>
      <c r="K102" s="10" t="s">
        <v>80</v>
      </c>
      <c r="L102" s="3" t="s">
        <v>81</v>
      </c>
      <c r="N102" s="10"/>
    </row>
    <row r="103" customFormat="false" ht="18.7" hidden="false" customHeight="true" outlineLevel="0" collapsed="false">
      <c r="A103" s="1" t="n">
        <v>102</v>
      </c>
      <c r="B103" s="7" t="str">
        <f aca="false">HYPERLINK("https://mncourtfraud.com/file/LPK-12.zip","LPK-12.zip")</f>
        <v>LPK-12.zip</v>
      </c>
      <c r="C103" s="8" t="str">
        <f aca="false">HYPERLINK("https://mncourtfraud.com/file/27-CR-21-8228.pdf","27-CR-21-8228")</f>
        <v>27-CR-21-8228</v>
      </c>
      <c r="D103" s="3" t="s">
        <v>15</v>
      </c>
      <c r="E103" s="8" t="str">
        <f aca="false">HYPERLINK("https://mncourtfraud.com/file/MCRO_27-CR-21-8228_Finding of Incompetency and Order_2023-11-01_20240430080822.pdf","MCRO_27-CR-21-8228_Finding of Incompetency and Order_2023-11-01_20240430080822.pdf")</f>
        <v>MCRO_27-CR-21-8228_Finding of Incompetency and Order_2023-11-01_20240430080822.pdf</v>
      </c>
      <c r="F103" s="9" t="n">
        <v>45231</v>
      </c>
      <c r="G103" s="1" t="s">
        <v>77</v>
      </c>
      <c r="H103" s="3" t="s">
        <v>78</v>
      </c>
      <c r="I103" s="3" t="s">
        <v>79</v>
      </c>
      <c r="J103" s="3" t="s">
        <v>64</v>
      </c>
      <c r="K103" s="10" t="s">
        <v>80</v>
      </c>
      <c r="L103" s="3" t="s">
        <v>81</v>
      </c>
      <c r="N103" s="10"/>
    </row>
    <row r="104" customFormat="false" ht="18.7" hidden="false" customHeight="true" outlineLevel="0" collapsed="false">
      <c r="A104" s="1" t="n">
        <v>103</v>
      </c>
      <c r="B104" s="7" t="str">
        <f aca="false">HYPERLINK("https://mncourtfraud.com/file/LPK-12.zip","LPK-12.zip")</f>
        <v>LPK-12.zip</v>
      </c>
      <c r="C104" s="8" t="str">
        <f aca="false">HYPERLINK("https://mncourtfraud.com/file/27-CR-21-8229.pdf","27-CR-21-8229")</f>
        <v>27-CR-21-8229</v>
      </c>
      <c r="D104" s="3" t="s">
        <v>15</v>
      </c>
      <c r="E104" s="8" t="str">
        <f aca="false">HYPERLINK("https://mncourtfraud.com/file/MCRO_27-CR-21-8229_Finding of Incompetency and Order_2023-11-01_20240430081519.pdf","MCRO_27-CR-21-8229_Finding of Incompetency and Order_2023-11-01_20240430081519.pdf")</f>
        <v>MCRO_27-CR-21-8229_Finding of Incompetency and Order_2023-11-01_20240430081519.pdf</v>
      </c>
      <c r="F104" s="9" t="n">
        <v>45231</v>
      </c>
      <c r="G104" s="1" t="s">
        <v>77</v>
      </c>
      <c r="H104" s="3" t="s">
        <v>78</v>
      </c>
      <c r="I104" s="3" t="s">
        <v>79</v>
      </c>
      <c r="J104" s="3" t="s">
        <v>64</v>
      </c>
      <c r="K104" s="10" t="s">
        <v>80</v>
      </c>
      <c r="L104" s="3" t="s">
        <v>81</v>
      </c>
      <c r="N104" s="10"/>
    </row>
    <row r="105" customFormat="false" ht="18.7" hidden="false" customHeight="true" outlineLevel="0" collapsed="false">
      <c r="A105" s="1" t="n">
        <v>104</v>
      </c>
      <c r="B105" s="7" t="str">
        <f aca="false">HYPERLINK("https://mncourtfraud.com/file/LPK-12.zip","LPK-12.zip")</f>
        <v>LPK-12.zip</v>
      </c>
      <c r="C105" s="8" t="str">
        <f aca="false">HYPERLINK("https://mncourtfraud.com/file/27-CR-21-8230.pdf","27-CR-21-8230")</f>
        <v>27-CR-21-8230</v>
      </c>
      <c r="D105" s="3" t="s">
        <v>15</v>
      </c>
      <c r="E105" s="8" t="str">
        <f aca="false">HYPERLINK("https://mncourtfraud.com/file/MCRO_27-CR-21-8230_Finding of Incompetency and Order_2023-11-01_20240430081637.pdf","MCRO_27-CR-21-8230_Finding of Incompetency and Order_2023-11-01_20240430081637.pdf")</f>
        <v>MCRO_27-CR-21-8230_Finding of Incompetency and Order_2023-11-01_20240430081637.pdf</v>
      </c>
      <c r="F105" s="9" t="n">
        <v>45231</v>
      </c>
      <c r="G105" s="1" t="s">
        <v>77</v>
      </c>
      <c r="H105" s="3" t="s">
        <v>78</v>
      </c>
      <c r="I105" s="3" t="s">
        <v>79</v>
      </c>
      <c r="J105" s="3" t="s">
        <v>64</v>
      </c>
      <c r="K105" s="10" t="s">
        <v>80</v>
      </c>
      <c r="L105" s="3" t="s">
        <v>81</v>
      </c>
      <c r="N105" s="10"/>
    </row>
    <row r="106" customFormat="false" ht="18.7" hidden="false" customHeight="true" outlineLevel="0" collapsed="false">
      <c r="A106" s="1" t="n">
        <v>105</v>
      </c>
      <c r="B106" s="7" t="str">
        <f aca="false">HYPERLINK("https://mncourtfraud.com/file/LPK-12.zip","LPK-12.zip")</f>
        <v>LPK-12.zip</v>
      </c>
      <c r="C106" s="8" t="str">
        <f aca="false">HYPERLINK("https://mncourtfraud.com/file/27-CR-21-8511.pdf","27-CR-21-8511")</f>
        <v>27-CR-21-8511</v>
      </c>
      <c r="D106" s="3" t="s">
        <v>15</v>
      </c>
      <c r="E106" s="8" t="str">
        <f aca="false">HYPERLINK("https://mncourtfraud.com/file/MCRO_27-CR-21-8511_Finding of Incompetency and Order_2023-11-01_20240430082010.pdf","MCRO_27-CR-21-8511_Finding of Incompetency and Order_2023-11-01_20240430082010.pdf")</f>
        <v>MCRO_27-CR-21-8511_Finding of Incompetency and Order_2023-11-01_20240430082010.pdf</v>
      </c>
      <c r="F106" s="9" t="n">
        <v>45231</v>
      </c>
      <c r="G106" s="1" t="s">
        <v>77</v>
      </c>
      <c r="H106" s="3" t="s">
        <v>78</v>
      </c>
      <c r="I106" s="3" t="s">
        <v>79</v>
      </c>
      <c r="J106" s="3" t="s">
        <v>64</v>
      </c>
      <c r="K106" s="10" t="s">
        <v>80</v>
      </c>
      <c r="L106" s="3" t="s">
        <v>81</v>
      </c>
      <c r="N106" s="10"/>
    </row>
    <row r="107" customFormat="false" ht="18.7" hidden="false" customHeight="true" outlineLevel="0" collapsed="false">
      <c r="A107" s="1" t="n">
        <v>106</v>
      </c>
      <c r="B107" s="7" t="str">
        <f aca="false">HYPERLINK("https://mncourtfraud.com/file/LPK-12.zip","LPK-12.zip")</f>
        <v>LPK-12.zip</v>
      </c>
      <c r="C107" s="8" t="str">
        <f aca="false">HYPERLINK("https://mncourtfraud.com/file/27-CR-22-17300.pdf","27-CR-22-17300")</f>
        <v>27-CR-22-17300</v>
      </c>
      <c r="D107" s="3" t="s">
        <v>15</v>
      </c>
      <c r="E107" s="8" t="str">
        <f aca="false">HYPERLINK("https://mncourtfraud.com/file/MCRO_27-CR-22-17300_Finding of Incompetency and Order_2023-11-01_20240429161959.pdf","MCRO_27-CR-22-17300_Finding of Incompetency and Order_2023-11-01_20240429161959.pdf")</f>
        <v>MCRO_27-CR-22-17300_Finding of Incompetency and Order_2023-11-01_20240429161959.pdf</v>
      </c>
      <c r="F107" s="9" t="n">
        <v>45231</v>
      </c>
      <c r="G107" s="1" t="s">
        <v>77</v>
      </c>
      <c r="H107" s="3" t="s">
        <v>78</v>
      </c>
      <c r="I107" s="3" t="s">
        <v>79</v>
      </c>
      <c r="J107" s="3" t="s">
        <v>64</v>
      </c>
      <c r="K107" s="10" t="s">
        <v>80</v>
      </c>
      <c r="L107" s="3" t="s">
        <v>81</v>
      </c>
      <c r="N107" s="10"/>
    </row>
    <row r="108" customFormat="false" ht="18.7" hidden="false" customHeight="true" outlineLevel="0" collapsed="false">
      <c r="A108" s="1" t="n">
        <v>107</v>
      </c>
      <c r="B108" s="7" t="str">
        <f aca="false">HYPERLINK("https://mncourtfraud.com/file/LPK-12.zip","LPK-12.zip")</f>
        <v>LPK-12.zip</v>
      </c>
      <c r="C108" s="8" t="str">
        <f aca="false">HYPERLINK("https://mncourtfraud.com/file/27-CR-23-5751.pdf","27-CR-23-5751")</f>
        <v>27-CR-23-5751</v>
      </c>
      <c r="D108" s="3" t="s">
        <v>15</v>
      </c>
      <c r="E108" s="8" t="str">
        <f aca="false">HYPERLINK("https://mncourtfraud.com/file/MCRO_27-CR-23-5751_Finding of Incompetency and Order_2023-11-01_20240430073239.pdf","MCRO_27-CR-23-5751_Finding of Incompetency and Order_2023-11-01_20240430073239.pdf")</f>
        <v>MCRO_27-CR-23-5751_Finding of Incompetency and Order_2023-11-01_20240430073239.pdf</v>
      </c>
      <c r="F108" s="9" t="n">
        <v>45231</v>
      </c>
      <c r="G108" s="1" t="s">
        <v>77</v>
      </c>
      <c r="H108" s="3" t="s">
        <v>78</v>
      </c>
      <c r="I108" s="3" t="s">
        <v>79</v>
      </c>
      <c r="J108" s="3" t="s">
        <v>64</v>
      </c>
      <c r="K108" s="10" t="s">
        <v>80</v>
      </c>
      <c r="L108" s="3" t="s">
        <v>81</v>
      </c>
      <c r="N108" s="10"/>
    </row>
    <row r="109" customFormat="false" ht="18.7" hidden="false" customHeight="true" outlineLevel="0" collapsed="false">
      <c r="A109" s="1" t="n">
        <v>108</v>
      </c>
      <c r="F109" s="9"/>
      <c r="K109" s="10"/>
      <c r="N109" s="10"/>
    </row>
    <row r="110" customFormat="false" ht="18.7" hidden="false" customHeight="true" outlineLevel="0" collapsed="false">
      <c r="A110" s="1" t="n">
        <v>109</v>
      </c>
      <c r="B110" s="7" t="str">
        <f aca="false">HYPERLINK("https://mncourtfraud.com/file/LPK-13.zip","LPK-13.zip")</f>
        <v>LPK-13.zip</v>
      </c>
      <c r="C110" s="8" t="str">
        <f aca="false">HYPERLINK("https://mncourtfraud.com/file/27-CR-21-8227.pdf","27-CR-21-8227")</f>
        <v>27-CR-21-8227</v>
      </c>
      <c r="D110" s="3" t="s">
        <v>15</v>
      </c>
      <c r="E110" s="8" t="str">
        <f aca="false">HYPERLINK("https://mncourtfraud.com/file/MCRO_27-CR-21-8227_Order-Evaluation for Competency to Proceed (Rule 20.01)_2024-02-21_20240430080726.pdf","MCRO_27-CR-21-8227_Order-Evaluation for Competency to Proceed (Rule 20.01)_2024-02-21_20240430080726.pdf")</f>
        <v>MCRO_27-CR-21-8227_Order-Evaluation for Competency to Proceed (Rule 20.01)_2024-02-21_20240430080726.pdf</v>
      </c>
      <c r="F110" s="9" t="n">
        <v>45343</v>
      </c>
      <c r="G110" s="1" t="s">
        <v>82</v>
      </c>
      <c r="H110" s="3" t="s">
        <v>83</v>
      </c>
      <c r="I110" s="3" t="s">
        <v>84</v>
      </c>
      <c r="K110" s="10"/>
      <c r="N110" s="10"/>
    </row>
    <row r="111" customFormat="false" ht="18.7" hidden="false" customHeight="true" outlineLevel="0" collapsed="false">
      <c r="A111" s="1" t="n">
        <v>110</v>
      </c>
      <c r="B111" s="7" t="str">
        <f aca="false">HYPERLINK("https://mncourtfraud.com/file/LPK-13.zip","LPK-13.zip")</f>
        <v>LPK-13.zip</v>
      </c>
      <c r="C111" s="8" t="str">
        <f aca="false">HYPERLINK("https://mncourtfraud.com/file/27-CR-21-8228.pdf","27-CR-21-8228")</f>
        <v>27-CR-21-8228</v>
      </c>
      <c r="D111" s="3" t="s">
        <v>15</v>
      </c>
      <c r="E111" s="8" t="str">
        <f aca="false">HYPERLINK("https://mncourtfraud.com/file/MCRO_27-CR-21-8228_Order-Evaluation for Competency to Proceed (Rule 20.01)_2024-02-21_20240430080818.pdf","MCRO_27-CR-21-8228_Order-Evaluation for Competency to Proceed (Rule 20.01)_2024-02-21_20240430080818.pdf")</f>
        <v>MCRO_27-CR-21-8228_Order-Evaluation for Competency to Proceed (Rule 20.01)_2024-02-21_20240430080818.pdf</v>
      </c>
      <c r="F111" s="9" t="n">
        <v>45343</v>
      </c>
      <c r="G111" s="1" t="s">
        <v>82</v>
      </c>
      <c r="H111" s="3" t="s">
        <v>83</v>
      </c>
      <c r="I111" s="3" t="s">
        <v>84</v>
      </c>
      <c r="K111" s="10"/>
      <c r="N111" s="10"/>
    </row>
    <row r="112" customFormat="false" ht="18.7" hidden="false" customHeight="true" outlineLevel="0" collapsed="false">
      <c r="A112" s="1" t="n">
        <v>111</v>
      </c>
      <c r="B112" s="7" t="str">
        <f aca="false">HYPERLINK("https://mncourtfraud.com/file/LPK-13.zip","LPK-13.zip")</f>
        <v>LPK-13.zip</v>
      </c>
      <c r="C112" s="8" t="str">
        <f aca="false">HYPERLINK("https://mncourtfraud.com/file/27-CR-21-8229.pdf","27-CR-21-8229")</f>
        <v>27-CR-21-8229</v>
      </c>
      <c r="D112" s="3" t="s">
        <v>15</v>
      </c>
      <c r="E112" s="8" t="str">
        <f aca="false">HYPERLINK("https://mncourtfraud.com/file/MCRO_27-CR-21-8229_Order-Evaluation for Competency to Proceed (Rule 20.01)_2024-02-21_20240430081517.pdf","MCRO_27-CR-21-8229_Order-Evaluation for Competency to Proceed (Rule 20.01)_2024-02-21_20240430081517.pdf")</f>
        <v>MCRO_27-CR-21-8229_Order-Evaluation for Competency to Proceed (Rule 20.01)_2024-02-21_20240430081517.pdf</v>
      </c>
      <c r="F112" s="9" t="n">
        <v>45343</v>
      </c>
      <c r="G112" s="1" t="s">
        <v>82</v>
      </c>
      <c r="H112" s="3" t="s">
        <v>83</v>
      </c>
      <c r="I112" s="3" t="s">
        <v>84</v>
      </c>
      <c r="K112" s="10"/>
      <c r="N112" s="10"/>
    </row>
    <row r="113" customFormat="false" ht="18.7" hidden="false" customHeight="true" outlineLevel="0" collapsed="false">
      <c r="A113" s="1" t="n">
        <v>112</v>
      </c>
      <c r="B113" s="7" t="str">
        <f aca="false">HYPERLINK("https://mncourtfraud.com/file/LPK-13.zip","LPK-13.zip")</f>
        <v>LPK-13.zip</v>
      </c>
      <c r="C113" s="8" t="str">
        <f aca="false">HYPERLINK("https://mncourtfraud.com/file/27-CR-21-8230.pdf","27-CR-21-8230")</f>
        <v>27-CR-21-8230</v>
      </c>
      <c r="D113" s="3" t="s">
        <v>15</v>
      </c>
      <c r="E113" s="8" t="str">
        <f aca="false">HYPERLINK("https://mncourtfraud.com/file/MCRO_27-CR-21-8230_Order-Evaluation for Competency to Proceed (Rule 20.01)_2024-02-21_20240430081634.pdf","MCRO_27-CR-21-8230_Order-Evaluation for Competency to Proceed (Rule 20.01)_2024-02-21_20240430081634.pdf")</f>
        <v>MCRO_27-CR-21-8230_Order-Evaluation for Competency to Proceed (Rule 20.01)_2024-02-21_20240430081634.pdf</v>
      </c>
      <c r="F113" s="9" t="n">
        <v>45343</v>
      </c>
      <c r="G113" s="1" t="s">
        <v>82</v>
      </c>
      <c r="H113" s="3" t="s">
        <v>83</v>
      </c>
      <c r="I113" s="3" t="s">
        <v>84</v>
      </c>
      <c r="K113" s="10"/>
      <c r="N113" s="10"/>
    </row>
    <row r="114" customFormat="false" ht="18.7" hidden="false" customHeight="true" outlineLevel="0" collapsed="false">
      <c r="A114" s="1" t="n">
        <v>113</v>
      </c>
      <c r="B114" s="7" t="str">
        <f aca="false">HYPERLINK("https://mncourtfraud.com/file/LPK-13.zip","LPK-13.zip")</f>
        <v>LPK-13.zip</v>
      </c>
      <c r="C114" s="8" t="str">
        <f aca="false">HYPERLINK("https://mncourtfraud.com/file/27-CR-22-17300.pdf","27-CR-22-17300")</f>
        <v>27-CR-22-17300</v>
      </c>
      <c r="D114" s="3" t="s">
        <v>15</v>
      </c>
      <c r="E114" s="8" t="str">
        <f aca="false">HYPERLINK("https://mncourtfraud.com/file/MCRO_27-CR-22-17300_Order-Evaluation for Competency to Proceed (Rule 20.01)_2024-02-21_20240429161956.pdf","MCRO_27-CR-22-17300_Order-Evaluation for Competency to Proceed (Rule 20.01)_2024-02-21_20240429161956.pdf")</f>
        <v>MCRO_27-CR-22-17300_Order-Evaluation for Competency to Proceed (Rule 20.01)_2024-02-21_20240429161956.pdf</v>
      </c>
      <c r="F114" s="9" t="n">
        <v>45343</v>
      </c>
      <c r="G114" s="1" t="s">
        <v>82</v>
      </c>
      <c r="H114" s="3" t="s">
        <v>83</v>
      </c>
      <c r="I114" s="3" t="s">
        <v>84</v>
      </c>
      <c r="K114" s="10"/>
      <c r="N114" s="10"/>
    </row>
    <row r="115" customFormat="false" ht="18.7" hidden="false" customHeight="true" outlineLevel="0" collapsed="false">
      <c r="A115" s="1" t="n">
        <v>114</v>
      </c>
      <c r="B115" s="7" t="str">
        <f aca="false">HYPERLINK("https://mncourtfraud.com/file/LPK-13.zip","LPK-13.zip")</f>
        <v>LPK-13.zip</v>
      </c>
      <c r="C115" s="8" t="str">
        <f aca="false">HYPERLINK("https://mncourtfraud.com/file/27-CR-23-5751.pdf","27-CR-23-5751")</f>
        <v>27-CR-23-5751</v>
      </c>
      <c r="D115" s="3" t="s">
        <v>15</v>
      </c>
      <c r="E115" s="8" t="str">
        <f aca="false">HYPERLINK("https://mncourtfraud.com/file/MCRO_27-CR-23-5751_Order-Evaluation for Competency to Proceed (Rule 20.01)_2024-02-23_20240430073237.pdf","MCRO_27-CR-23-5751_Order-Evaluation for Competency to Proceed (Rule 20.01)_2024-02-23_20240430073237.pdf")</f>
        <v>MCRO_27-CR-23-5751_Order-Evaluation for Competency to Proceed (Rule 20.01)_2024-02-23_20240430073237.pdf</v>
      </c>
      <c r="F115" s="9" t="n">
        <v>45345</v>
      </c>
      <c r="G115" s="1" t="s">
        <v>82</v>
      </c>
      <c r="H115" s="3" t="s">
        <v>83</v>
      </c>
      <c r="I115" s="3" t="s">
        <v>84</v>
      </c>
      <c r="K115" s="10"/>
      <c r="N115" s="10"/>
    </row>
    <row r="116" customFormat="false" ht="18.7" hidden="false" customHeight="true" outlineLevel="0" collapsed="false">
      <c r="A116" s="1" t="n">
        <v>115</v>
      </c>
      <c r="K116" s="10"/>
      <c r="N116" s="10"/>
    </row>
    <row r="117" customFormat="false" ht="18.7" hidden="false" customHeight="true" outlineLevel="0" collapsed="false">
      <c r="A117" s="1" t="n">
        <v>116</v>
      </c>
      <c r="F117" s="9"/>
      <c r="K117" s="10"/>
      <c r="N117" s="10"/>
    </row>
    <row r="118" customFormat="false" ht="18.7" hidden="false" customHeight="true" outlineLevel="0" collapsed="false">
      <c r="A118" s="1" t="n">
        <v>117</v>
      </c>
      <c r="B118" s="7" t="str">
        <f aca="false">HYPERLINK("https://mncourtfraud.com/file/GES-1.zip","GES-1.zip")</f>
        <v>GES-1.zip</v>
      </c>
      <c r="C118" s="8" t="str">
        <f aca="false">HYPERLINK("https://mncourtfraud.com/file/27-CR-21-1980.pdf","27-CR-21-1980")</f>
        <v>27-CR-21-1980</v>
      </c>
      <c r="D118" s="3" t="s">
        <v>85</v>
      </c>
      <c r="E118" s="8" t="str">
        <f aca="false">HYPERLINK("https://mncourtfraud.com/file/MCRO_27-CR-21-1980_Demand or Request for Discovery_2021-02-03_20240430080023.pdf","MCRO_27-CR-21-1980_Demand or Request for Discovery_2021-02-03_20240430080023.pdf")</f>
        <v>MCRO_27-CR-21-1980_Demand or Request for Discovery_2021-02-03_20240430080023.pdf</v>
      </c>
      <c r="F118" s="9" t="n">
        <v>44230</v>
      </c>
      <c r="G118" s="1" t="s">
        <v>16</v>
      </c>
      <c r="H118" s="3" t="s">
        <v>17</v>
      </c>
      <c r="I118" s="3" t="s">
        <v>86</v>
      </c>
      <c r="K118" s="10"/>
      <c r="N118" s="10"/>
    </row>
    <row r="119" customFormat="false" ht="18.7" hidden="false" customHeight="true" outlineLevel="0" collapsed="false">
      <c r="A119" s="1" t="n">
        <v>118</v>
      </c>
      <c r="B119" s="7" t="str">
        <f aca="false">HYPERLINK("https://mncourtfraud.com/file/GES-1.zip","GES-1.zip")</f>
        <v>GES-1.zip</v>
      </c>
      <c r="C119" s="8" t="str">
        <f aca="false">HYPERLINK("https://mncourtfraud.com/file/27-CR-21-20072.pdf","27-CR-21-20072")</f>
        <v>27-CR-21-20072</v>
      </c>
      <c r="D119" s="3" t="s">
        <v>85</v>
      </c>
      <c r="E119" s="8" t="str">
        <f aca="false">HYPERLINK("https://mncourtfraud.com/file/MCRO_27-CR-21-20072_Demand or Request for Discovery_2021-11-03_20240430083115.pdf","MCRO_27-CR-21-20072_Demand or Request for Discovery_2021-11-03_20240430083115.pdf")</f>
        <v>MCRO_27-CR-21-20072_Demand or Request for Discovery_2021-11-03_20240430083115.pdf</v>
      </c>
      <c r="F119" s="9" t="n">
        <v>44503</v>
      </c>
      <c r="G119" s="1" t="s">
        <v>16</v>
      </c>
      <c r="H119" s="3" t="s">
        <v>17</v>
      </c>
      <c r="I119" s="3" t="s">
        <v>87</v>
      </c>
      <c r="K119" s="10"/>
      <c r="N119" s="10"/>
    </row>
    <row r="120" customFormat="false" ht="18.7" hidden="false" customHeight="true" outlineLevel="0" collapsed="false">
      <c r="A120" s="1" t="n">
        <v>119</v>
      </c>
      <c r="B120" s="7" t="str">
        <f aca="false">HYPERLINK("https://mncourtfraud.com/file/GES-1.zip","GES-1.zip")</f>
        <v>GES-1.zip</v>
      </c>
      <c r="C120" s="8" t="str">
        <f aca="false">HYPERLINK("https://mncourtfraud.com/file/27-CR-22-4087.pdf","27-CR-22-4087")</f>
        <v>27-CR-22-4087</v>
      </c>
      <c r="D120" s="3" t="s">
        <v>88</v>
      </c>
      <c r="E120" s="8" t="str">
        <f aca="false">HYPERLINK("https://mncourtfraud.com/file/MCRO_27-CR-22-4087_Demand or Request for Discovery_2022-03-10_20240429035327.pdf","MCRO_27-CR-22-4087_Demand or Request for Discovery_2022-03-10_20240429035327.pdf")</f>
        <v>MCRO_27-CR-22-4087_Demand or Request for Discovery_2022-03-10_20240429035327.pdf</v>
      </c>
      <c r="F120" s="9" t="n">
        <v>44630</v>
      </c>
      <c r="G120" s="1" t="s">
        <v>16</v>
      </c>
      <c r="H120" s="3" t="s">
        <v>17</v>
      </c>
      <c r="I120" s="3" t="s">
        <v>89</v>
      </c>
      <c r="K120" s="10"/>
      <c r="N120" s="10"/>
    </row>
    <row r="121" customFormat="false" ht="18.7" hidden="false" customHeight="true" outlineLevel="0" collapsed="false">
      <c r="A121" s="1" t="n">
        <v>120</v>
      </c>
      <c r="F121" s="9"/>
      <c r="K121" s="10"/>
      <c r="N121" s="10"/>
    </row>
    <row r="122" customFormat="false" ht="18.7" hidden="false" customHeight="true" outlineLevel="0" collapsed="false">
      <c r="A122" s="1" t="n">
        <v>121</v>
      </c>
      <c r="B122" s="7" t="str">
        <f aca="false">HYPERLINK("https://mncourtfraud.com/file/GES-2.zip","GES-2.zip")</f>
        <v>GES-2.zip</v>
      </c>
      <c r="C122" s="8" t="str">
        <f aca="false">HYPERLINK("https://mncourtfraud.com/file/27-CR-21-23188.pdf","27-CR-21-23188")</f>
        <v>27-CR-21-23188</v>
      </c>
      <c r="D122" s="3" t="s">
        <v>88</v>
      </c>
      <c r="E122" s="8" t="str">
        <f aca="false">HYPERLINK("https://mncourtfraud.com/file/MCRO_27-CR-21-23188_Order for Conditional Release_2022-03-08_20240430083750.pdf","MCRO_27-CR-21-23188_Order for Conditional Release_2022-03-08_20240430083750.pdf")</f>
        <v>MCRO_27-CR-21-23188_Order for Conditional Release_2022-03-08_20240430083750.pdf</v>
      </c>
      <c r="F122" s="9" t="n">
        <v>44628</v>
      </c>
      <c r="G122" s="1" t="s">
        <v>90</v>
      </c>
      <c r="H122" s="3" t="s">
        <v>91</v>
      </c>
      <c r="I122" s="3" t="s">
        <v>92</v>
      </c>
      <c r="J122" s="3" t="s">
        <v>93</v>
      </c>
      <c r="K122" s="10" t="s">
        <v>94</v>
      </c>
      <c r="L122" s="3" t="s">
        <v>95</v>
      </c>
      <c r="N122" s="10"/>
    </row>
    <row r="123" customFormat="false" ht="18.7" hidden="false" customHeight="true" outlineLevel="0" collapsed="false">
      <c r="A123" s="1" t="n">
        <v>122</v>
      </c>
      <c r="B123" s="7" t="str">
        <f aca="false">HYPERLINK("https://mncourtfraud.com/file/GES-2.zip","GES-2.zip")</f>
        <v>GES-2.zip</v>
      </c>
      <c r="C123" s="8" t="str">
        <f aca="false">HYPERLINK("https://mncourtfraud.com/file/27-CR-21-23215.pdf","27-CR-21-23215")</f>
        <v>27-CR-21-23215</v>
      </c>
      <c r="D123" s="3" t="s">
        <v>88</v>
      </c>
      <c r="E123" s="8" t="str">
        <f aca="false">HYPERLINK("https://mncourtfraud.com/file/MCRO_27-CR-21-23215_Order for Conditional Release_2022-03-08_20240430084133.pdf","MCRO_27-CR-21-23215_Order for Conditional Release_2022-03-08_20240430084133.pdf")</f>
        <v>MCRO_27-CR-21-23215_Order for Conditional Release_2022-03-08_20240430084133.pdf</v>
      </c>
      <c r="F123" s="9" t="n">
        <v>44628</v>
      </c>
      <c r="G123" s="1" t="s">
        <v>90</v>
      </c>
      <c r="H123" s="3" t="s">
        <v>91</v>
      </c>
      <c r="I123" s="3" t="s">
        <v>92</v>
      </c>
      <c r="J123" s="3" t="s">
        <v>93</v>
      </c>
      <c r="K123" s="10" t="s">
        <v>94</v>
      </c>
      <c r="L123" s="3" t="s">
        <v>95</v>
      </c>
      <c r="N123" s="10"/>
    </row>
    <row r="124" customFormat="false" ht="18.7" hidden="false" customHeight="true" outlineLevel="0" collapsed="false">
      <c r="A124" s="1" t="n">
        <v>123</v>
      </c>
      <c r="B124" s="7" t="str">
        <f aca="false">HYPERLINK("https://mncourtfraud.com/file/GES-2.zip","GES-2.zip")</f>
        <v>GES-2.zip</v>
      </c>
      <c r="C124" s="8" t="str">
        <f aca="false">HYPERLINK("https://mncourtfraud.com/file/27-CR-22-4087.pdf","27-CR-22-4087")</f>
        <v>27-CR-22-4087</v>
      </c>
      <c r="D124" s="3" t="s">
        <v>88</v>
      </c>
      <c r="E124" s="8" t="str">
        <f aca="false">HYPERLINK("https://mncourtfraud.com/file/MCRO_27-CR-22-4087_Order for Conditional Release_2022-03-08_20240429035329.pdf","MCRO_27-CR-22-4087_Order for Conditional Release_2022-03-08_20240429035329.pdf")</f>
        <v>MCRO_27-CR-22-4087_Order for Conditional Release_2022-03-08_20240429035329.pdf</v>
      </c>
      <c r="F124" s="9" t="n">
        <v>44628</v>
      </c>
      <c r="G124" s="1" t="s">
        <v>90</v>
      </c>
      <c r="H124" s="3" t="s">
        <v>91</v>
      </c>
      <c r="I124" s="3" t="s">
        <v>92</v>
      </c>
      <c r="J124" s="3" t="s">
        <v>93</v>
      </c>
      <c r="K124" s="10" t="s">
        <v>94</v>
      </c>
      <c r="L124" s="3" t="s">
        <v>95</v>
      </c>
      <c r="N124" s="10"/>
    </row>
    <row r="125" customFormat="false" ht="18.7" hidden="false" customHeight="true" outlineLevel="0" collapsed="false">
      <c r="A125" s="1" t="n">
        <v>124</v>
      </c>
      <c r="F125" s="9"/>
      <c r="K125" s="10"/>
      <c r="N125" s="10"/>
    </row>
    <row r="126" customFormat="false" ht="18.7" hidden="false" customHeight="true" outlineLevel="0" collapsed="false">
      <c r="A126" s="1" t="n">
        <v>125</v>
      </c>
      <c r="B126" s="7" t="str">
        <f aca="false">HYPERLINK("https://mncourtfraud.com/file/GES-3.zip","GES-3.zip")</f>
        <v>GES-3.zip</v>
      </c>
      <c r="C126" s="8" t="str">
        <f aca="false">HYPERLINK("https://mncourtfraud.com/file/27-CR-21-20072.pdf","27-CR-21-20072")</f>
        <v>27-CR-21-20072</v>
      </c>
      <c r="D126" s="3" t="s">
        <v>85</v>
      </c>
      <c r="E126" s="8" t="str">
        <f aca="false">HYPERLINK("https://mncourtfraud.com/file/MCRO_27-CR-21-20072_Order Revoking Interim Conditions of Release_2021-11-12_20240430083113.pdf","MCRO_27-CR-21-20072_Order Revoking Interim Conditions of Release_2021-11-12_20240430083113.pdf")</f>
        <v>MCRO_27-CR-21-20072_Order Revoking Interim Conditions of Release_2021-11-12_20240430083113.pdf</v>
      </c>
      <c r="F126" s="9" t="n">
        <v>44512</v>
      </c>
      <c r="G126" s="1" t="s">
        <v>96</v>
      </c>
      <c r="H126" s="3" t="s">
        <v>97</v>
      </c>
      <c r="I126" s="3" t="s">
        <v>98</v>
      </c>
      <c r="K126" s="10"/>
      <c r="N126" s="10"/>
    </row>
    <row r="127" customFormat="false" ht="18.7" hidden="false" customHeight="true" outlineLevel="0" collapsed="false">
      <c r="A127" s="1" t="n">
        <v>126</v>
      </c>
      <c r="B127" s="7" t="str">
        <f aca="false">HYPERLINK("https://mncourtfraud.com/file/GES-3.zip","GES-3.zip")</f>
        <v>GES-3.zip</v>
      </c>
      <c r="C127" s="8" t="str">
        <f aca="false">HYPERLINK("https://mncourtfraud.com/file/27-CR-21-20072.pdf","27-CR-21-20072")</f>
        <v>27-CR-21-20072</v>
      </c>
      <c r="D127" s="3" t="s">
        <v>85</v>
      </c>
      <c r="E127" s="8" t="str">
        <f aca="false">HYPERLINK("https://mncourtfraud.com/file/MCRO_27-CR-21-20072_Proposed Order or Document_2021-11-12_20240430083116.pdf","MCRO_27-CR-21-20072_Proposed Order or Document_2021-11-12_20240430083116.pdf")</f>
        <v>MCRO_27-CR-21-20072_Proposed Order or Document_2021-11-12_20240430083116.pdf</v>
      </c>
      <c r="F127" s="9" t="n">
        <v>44512</v>
      </c>
      <c r="G127" s="1" t="s">
        <v>96</v>
      </c>
      <c r="H127" s="3" t="s">
        <v>97</v>
      </c>
      <c r="I127" s="3" t="s">
        <v>99</v>
      </c>
      <c r="K127" s="10"/>
      <c r="N127" s="10"/>
    </row>
    <row r="128" customFormat="false" ht="18.7" hidden="false" customHeight="true" outlineLevel="0" collapsed="false">
      <c r="A128" s="1" t="n">
        <v>127</v>
      </c>
      <c r="F128" s="9"/>
      <c r="K128" s="10"/>
      <c r="N128" s="10"/>
    </row>
    <row r="129" customFormat="false" ht="18.7" hidden="false" customHeight="true" outlineLevel="0" collapsed="false">
      <c r="A129" s="1" t="n">
        <v>128</v>
      </c>
      <c r="B129" s="7" t="str">
        <f aca="false">HYPERLINK("https://mncourtfraud.com/file/GES-4.zip","GES-4.zip")</f>
        <v>GES-4.zip</v>
      </c>
      <c r="C129" s="8" t="str">
        <f aca="false">HYPERLINK("https://mncourtfraud.com/file/27-CR-21-21355.pdf","27-CR-21-21355")</f>
        <v>27-CR-21-21355</v>
      </c>
      <c r="D129" s="3" t="s">
        <v>88</v>
      </c>
      <c r="E129" s="8" t="str">
        <f aca="false">HYPERLINK("https://mncourtfraud.com/file/MCRO_27-CR-21-21355_Order Revoking Interim Conditions of Release_2021-12-14_20240430083504.pdf","MCRO_27-CR-21-21355_Order Revoking Interim Conditions of Release_2021-12-14_20240430083504.pdf")</f>
        <v>MCRO_27-CR-21-21355_Order Revoking Interim Conditions of Release_2021-12-14_20240430083504.pdf</v>
      </c>
      <c r="F129" s="9" t="n">
        <v>44544</v>
      </c>
      <c r="G129" s="1" t="s">
        <v>100</v>
      </c>
      <c r="H129" s="3" t="s">
        <v>101</v>
      </c>
      <c r="I129" s="3" t="s">
        <v>102</v>
      </c>
      <c r="K129" s="10"/>
      <c r="N129" s="10"/>
    </row>
    <row r="130" customFormat="false" ht="18.7" hidden="false" customHeight="true" outlineLevel="0" collapsed="false">
      <c r="A130" s="1" t="n">
        <v>129</v>
      </c>
      <c r="B130" s="7" t="str">
        <f aca="false">HYPERLINK("https://mncourtfraud.com/file/GES-4.zip","GES-4.zip")</f>
        <v>GES-4.zip</v>
      </c>
      <c r="C130" s="8" t="str">
        <f aca="false">HYPERLINK("https://mncourtfraud.com/file/27-CR-21-21355.pdf","27-CR-21-21355")</f>
        <v>27-CR-21-21355</v>
      </c>
      <c r="D130" s="3" t="s">
        <v>88</v>
      </c>
      <c r="E130" s="8" t="str">
        <f aca="false">HYPERLINK("https://mncourtfraud.com/file/MCRO_27-CR-21-21355_Proposed Order or Document_2021-12-14_20240430083505.pdf","MCRO_27-CR-21-21355_Proposed Order or Document_2021-12-14_20240430083505.pdf")</f>
        <v>MCRO_27-CR-21-21355_Proposed Order or Document_2021-12-14_20240430083505.pdf</v>
      </c>
      <c r="F130" s="9" t="n">
        <v>44544</v>
      </c>
      <c r="G130" s="1" t="s">
        <v>100</v>
      </c>
      <c r="H130" s="3" t="s">
        <v>101</v>
      </c>
      <c r="I130" s="3" t="s">
        <v>103</v>
      </c>
      <c r="K130" s="10"/>
      <c r="N130" s="10"/>
    </row>
    <row r="131" customFormat="false" ht="18.7" hidden="false" customHeight="true" outlineLevel="0" collapsed="false">
      <c r="A131" s="1" t="n">
        <v>130</v>
      </c>
      <c r="F131" s="9"/>
      <c r="K131" s="10"/>
      <c r="N131" s="10"/>
    </row>
    <row r="132" customFormat="false" ht="18.7" hidden="false" customHeight="true" outlineLevel="0" collapsed="false">
      <c r="A132" s="1" t="n">
        <v>131</v>
      </c>
      <c r="B132" s="7" t="str">
        <f aca="false">HYPERLINK("https://mncourtfraud.com/file/GES-5.zip","GES-5.zip")</f>
        <v>GES-5.zip</v>
      </c>
      <c r="C132" s="8" t="str">
        <f aca="false">HYPERLINK("https://mncourtfraud.com/file/27-CR-21-20988.pdf","27-CR-21-20988")</f>
        <v>27-CR-21-20988</v>
      </c>
      <c r="D132" s="3" t="s">
        <v>88</v>
      </c>
      <c r="E132" s="8" t="str">
        <f aca="false">HYPERLINK("https://mncourtfraud.com/file/MCRO_27-CR-21-20988_Order Revoking Interim Conditions of Release_2021-12-14_20240430083356.pdf","MCRO_27-CR-21-20988_Order Revoking Interim Conditions of Release_2021-12-14_20240430083356.pdf")</f>
        <v>MCRO_27-CR-21-20988_Order Revoking Interim Conditions of Release_2021-12-14_20240430083356.pdf</v>
      </c>
      <c r="F132" s="9" t="n">
        <v>44544</v>
      </c>
      <c r="G132" s="1" t="s">
        <v>104</v>
      </c>
      <c r="H132" s="3" t="s">
        <v>105</v>
      </c>
      <c r="I132" s="3" t="s">
        <v>106</v>
      </c>
      <c r="K132" s="10"/>
      <c r="N132" s="10"/>
    </row>
    <row r="133" customFormat="false" ht="18.7" hidden="false" customHeight="true" outlineLevel="0" collapsed="false">
      <c r="A133" s="1" t="n">
        <v>132</v>
      </c>
      <c r="B133" s="7" t="str">
        <f aca="false">HYPERLINK("https://mncourtfraud.com/file/GES-5.zip","GES-5.zip")</f>
        <v>GES-5.zip</v>
      </c>
      <c r="C133" s="8" t="str">
        <f aca="false">HYPERLINK("https://mncourtfraud.com/file/27-CR-21-20988.pdf","27-CR-21-20988")</f>
        <v>27-CR-21-20988</v>
      </c>
      <c r="D133" s="3" t="s">
        <v>88</v>
      </c>
      <c r="E133" s="8" t="str">
        <f aca="false">HYPERLINK("https://mncourtfraud.com/file/MCRO_27-CR-21-20988_Proposed Order or Document_2021-12-14_20240430083357.pdf","MCRO_27-CR-21-20988_Proposed Order or Document_2021-12-14_20240430083357.pdf")</f>
        <v>MCRO_27-CR-21-20988_Proposed Order or Document_2021-12-14_20240430083357.pdf</v>
      </c>
      <c r="F133" s="9" t="n">
        <v>44544</v>
      </c>
      <c r="G133" s="1" t="s">
        <v>104</v>
      </c>
      <c r="H133" s="3" t="s">
        <v>105</v>
      </c>
      <c r="I133" s="3" t="s">
        <v>107</v>
      </c>
      <c r="K133" s="10"/>
      <c r="N133" s="10"/>
    </row>
    <row r="134" customFormat="false" ht="18.7" hidden="false" customHeight="true" outlineLevel="0" collapsed="false">
      <c r="A134" s="1" t="n">
        <v>133</v>
      </c>
      <c r="F134" s="9"/>
      <c r="K134" s="10"/>
      <c r="N134" s="10"/>
    </row>
    <row r="135" customFormat="false" ht="18.7" hidden="false" customHeight="true" outlineLevel="0" collapsed="false">
      <c r="A135" s="1" t="n">
        <v>134</v>
      </c>
      <c r="B135" s="7" t="str">
        <f aca="false">HYPERLINK("https://mncourtfraud.com/file/GES-6.zip","GES-6.zip")</f>
        <v>GES-6.zip</v>
      </c>
      <c r="C135" s="8" t="str">
        <f aca="false">HYPERLINK("https://mncourtfraud.com/file/27-CR-21-20072.pdf","27-CR-21-20072")</f>
        <v>27-CR-21-20072</v>
      </c>
      <c r="D135" s="3" t="s">
        <v>85</v>
      </c>
      <c r="E135" s="8" t="str">
        <f aca="false">HYPERLINK("https://mncourtfraud.com/file/MCRO_27-CR-21-20072_Order Revoking Interim Conditions of Release_2021-12-14_20240430083108.pdf","MCRO_27-CR-21-20072_Order Revoking Interim Conditions of Release_2021-12-14_20240430083108.pdf")</f>
        <v>MCRO_27-CR-21-20072_Order Revoking Interim Conditions of Release_2021-12-14_20240430083108.pdf</v>
      </c>
      <c r="F135" s="9" t="n">
        <v>44544</v>
      </c>
      <c r="G135" s="1" t="s">
        <v>108</v>
      </c>
      <c r="H135" s="3" t="s">
        <v>109</v>
      </c>
      <c r="I135" s="3" t="s">
        <v>110</v>
      </c>
      <c r="K135" s="10"/>
      <c r="N135" s="10"/>
    </row>
    <row r="136" customFormat="false" ht="18.7" hidden="false" customHeight="true" outlineLevel="0" collapsed="false">
      <c r="A136" s="1" t="n">
        <v>135</v>
      </c>
      <c r="B136" s="7" t="str">
        <f aca="false">HYPERLINK("https://mncourtfraud.com/file/GES-6.zip","GES-6.zip")</f>
        <v>GES-6.zip</v>
      </c>
      <c r="C136" s="8" t="str">
        <f aca="false">HYPERLINK("https://mncourtfraud.com/file/27-CR-21-20072.pdf","27-CR-21-20072")</f>
        <v>27-CR-21-20072</v>
      </c>
      <c r="D136" s="3" t="s">
        <v>85</v>
      </c>
      <c r="E136" s="8" t="str">
        <f aca="false">HYPERLINK("https://mncourtfraud.com/file/MCRO_27-CR-21-20072_Proposed Order or Document_2021-12-14_20240430083109.pdf","MCRO_27-CR-21-20072_Proposed Order or Document_2021-12-14_20240430083109.pdf")</f>
        <v>MCRO_27-CR-21-20072_Proposed Order or Document_2021-12-14_20240430083109.pdf</v>
      </c>
      <c r="F136" s="9" t="n">
        <v>44544</v>
      </c>
      <c r="G136" s="1" t="s">
        <v>108</v>
      </c>
      <c r="H136" s="3" t="s">
        <v>109</v>
      </c>
      <c r="I136" s="3" t="s">
        <v>111</v>
      </c>
      <c r="K136" s="10"/>
      <c r="N136" s="10"/>
    </row>
    <row r="137" customFormat="false" ht="18.7" hidden="false" customHeight="true" outlineLevel="0" collapsed="false">
      <c r="A137" s="1" t="n">
        <v>136</v>
      </c>
      <c r="F137" s="9"/>
      <c r="K137" s="10"/>
      <c r="N137" s="10"/>
    </row>
    <row r="138" customFormat="false" ht="18.7" hidden="false" customHeight="true" outlineLevel="0" collapsed="false">
      <c r="A138" s="1" t="n">
        <v>137</v>
      </c>
      <c r="B138" s="7" t="str">
        <f aca="false">HYPERLINK("https://mncourtfraud.com/file/GES-7.zip","GES-7.zip")</f>
        <v>GES-7.zip</v>
      </c>
      <c r="C138" s="8" t="str">
        <f aca="false">HYPERLINK("https://mncourtfraud.com/file/27-CR-21-1980.pdf","27-CR-21-1980")</f>
        <v>27-CR-21-1980</v>
      </c>
      <c r="D138" s="3" t="s">
        <v>85</v>
      </c>
      <c r="E138" s="8" t="str">
        <f aca="false">HYPERLINK("https://mncourtfraud.com/file/MCRO_27-CR-21-1980_Order Revoking Interim Conditions of Release_2021-12-14_20240430080011.pdf","MCRO_27-CR-21-1980_Order Revoking Interim Conditions of Release_2021-12-14_20240430080011.pdf")</f>
        <v>MCRO_27-CR-21-1980_Order Revoking Interim Conditions of Release_2021-12-14_20240430080011.pdf</v>
      </c>
      <c r="F138" s="9" t="n">
        <v>44544</v>
      </c>
      <c r="G138" s="1" t="s">
        <v>112</v>
      </c>
      <c r="H138" s="3" t="s">
        <v>113</v>
      </c>
      <c r="I138" s="3" t="s">
        <v>114</v>
      </c>
      <c r="K138" s="10"/>
      <c r="N138" s="10"/>
    </row>
    <row r="139" customFormat="false" ht="18.7" hidden="false" customHeight="true" outlineLevel="0" collapsed="false">
      <c r="A139" s="1" t="n">
        <v>138</v>
      </c>
      <c r="B139" s="7" t="str">
        <f aca="false">HYPERLINK("https://mncourtfraud.com/file/GES-7.zip","GES-7.zip")</f>
        <v>GES-7.zip</v>
      </c>
      <c r="C139" s="8" t="str">
        <f aca="false">HYPERLINK("https://mncourtfraud.com/file/27-CR-21-1980.pdf","27-CR-21-1980")</f>
        <v>27-CR-21-1980</v>
      </c>
      <c r="D139" s="3" t="s">
        <v>85</v>
      </c>
      <c r="E139" s="8" t="str">
        <f aca="false">HYPERLINK("https://mncourtfraud.com/file/MCRO_27-CR-21-1980_Proposed Order or Document_2021-12-14_20240430080012.pdf","MCRO_27-CR-21-1980_Proposed Order or Document_2021-12-14_20240430080012.pdf")</f>
        <v>MCRO_27-CR-21-1980_Proposed Order or Document_2021-12-14_20240430080012.pdf</v>
      </c>
      <c r="F139" s="9" t="n">
        <v>44544</v>
      </c>
      <c r="G139" s="1" t="s">
        <v>112</v>
      </c>
      <c r="H139" s="3" t="s">
        <v>113</v>
      </c>
      <c r="I139" s="3" t="s">
        <v>115</v>
      </c>
      <c r="K139" s="10"/>
      <c r="N139" s="10"/>
    </row>
    <row r="140" customFormat="false" ht="18.7" hidden="false" customHeight="true" outlineLevel="0" collapsed="false">
      <c r="A140" s="1" t="n">
        <v>139</v>
      </c>
      <c r="F140" s="9"/>
      <c r="K140" s="10"/>
      <c r="N140" s="10"/>
    </row>
    <row r="141" customFormat="false" ht="18.7" hidden="false" customHeight="true" outlineLevel="0" collapsed="false">
      <c r="A141" s="1" t="n">
        <v>140</v>
      </c>
      <c r="B141" s="7" t="str">
        <f aca="false">HYPERLINK("https://mncourtfraud.com/file/GES-8.zip","GES-8.zip")</f>
        <v>GES-8.zip</v>
      </c>
      <c r="C141" s="8" t="str">
        <f aca="false">HYPERLINK("https://mncourtfraud.com/file/27-CR-21-1980.pdf","27-CR-21-1980")</f>
        <v>27-CR-21-1980</v>
      </c>
      <c r="D141" s="3" t="s">
        <v>85</v>
      </c>
      <c r="E141" s="8" t="str">
        <f aca="false">HYPERLINK("https://mncourtfraud.com/file/MCRO_27-CR-21-1980_Order-Evaluation for Competency to Proceed (Rule 20.01)_2021-12-20_20240430080010.pdf","MCRO_27-CR-21-1980_Order-Evaluation for Competency to Proceed (Rule 20.01)_2021-12-20_20240430080010.pdf")</f>
        <v>MCRO_27-CR-21-1980_Order-Evaluation for Competency to Proceed (Rule 20.01)_2021-12-20_20240430080010.pdf</v>
      </c>
      <c r="F141" s="9" t="n">
        <v>44550</v>
      </c>
      <c r="G141" s="1" t="s">
        <v>116</v>
      </c>
      <c r="H141" s="3" t="s">
        <v>117</v>
      </c>
      <c r="I141" s="3" t="s">
        <v>118</v>
      </c>
      <c r="K141" s="10"/>
      <c r="N141" s="10"/>
    </row>
    <row r="142" customFormat="false" ht="18.7" hidden="false" customHeight="true" outlineLevel="0" collapsed="false">
      <c r="A142" s="1" t="n">
        <v>141</v>
      </c>
      <c r="B142" s="7" t="str">
        <f aca="false">HYPERLINK("https://mncourtfraud.com/file/GES-8.zip","GES-8.zip")</f>
        <v>GES-8.zip</v>
      </c>
      <c r="C142" s="8" t="str">
        <f aca="false">HYPERLINK("https://mncourtfraud.com/file/27-CR-21-20072.pdf","27-CR-21-20072")</f>
        <v>27-CR-21-20072</v>
      </c>
      <c r="D142" s="3" t="s">
        <v>85</v>
      </c>
      <c r="E142" s="8" t="str">
        <f aca="false">HYPERLINK("https://mncourtfraud.com/file/MCRO_27-CR-21-20072_Order-Evaluation for Competency to Proceed (Rule 20.01)_2021-12-20_20240430083107.pdf","MCRO_27-CR-21-20072_Order-Evaluation for Competency to Proceed (Rule 20.01)_2021-12-20_20240430083107.pdf")</f>
        <v>MCRO_27-CR-21-20072_Order-Evaluation for Competency to Proceed (Rule 20.01)_2021-12-20_20240430083107.pdf</v>
      </c>
      <c r="F142" s="9" t="n">
        <v>44550</v>
      </c>
      <c r="G142" s="1" t="s">
        <v>116</v>
      </c>
      <c r="H142" s="3" t="s">
        <v>117</v>
      </c>
      <c r="I142" s="3" t="s">
        <v>118</v>
      </c>
      <c r="K142" s="10"/>
      <c r="N142" s="10"/>
    </row>
    <row r="143" customFormat="false" ht="18.7" hidden="false" customHeight="true" outlineLevel="0" collapsed="false">
      <c r="A143" s="1" t="n">
        <v>142</v>
      </c>
      <c r="B143" s="7" t="str">
        <f aca="false">HYPERLINK("https://mncourtfraud.com/file/GES-8.zip","GES-8.zip")</f>
        <v>GES-8.zip</v>
      </c>
      <c r="C143" s="8" t="str">
        <f aca="false">HYPERLINK("https://mncourtfraud.com/file/27-CR-21-20988.pdf","27-CR-21-20988")</f>
        <v>27-CR-21-20988</v>
      </c>
      <c r="D143" s="3" t="s">
        <v>88</v>
      </c>
      <c r="E143" s="8" t="str">
        <f aca="false">HYPERLINK("https://mncourtfraud.com/file/MCRO_27-CR-21-20988_Order-Evaluation for Competency to Proceed (Rule 20.01)_2021-12-20_20240430083355.pdf","MCRO_27-CR-21-20988_Order-Evaluation for Competency to Proceed (Rule 20.01)_2021-12-20_20240430083355.pdf")</f>
        <v>MCRO_27-CR-21-20988_Order-Evaluation for Competency to Proceed (Rule 20.01)_2021-12-20_20240430083355.pdf</v>
      </c>
      <c r="F143" s="9" t="n">
        <v>44550</v>
      </c>
      <c r="G143" s="1" t="s">
        <v>116</v>
      </c>
      <c r="H143" s="3" t="s">
        <v>117</v>
      </c>
      <c r="I143" s="3" t="s">
        <v>118</v>
      </c>
      <c r="K143" s="10"/>
      <c r="N143" s="10"/>
    </row>
    <row r="144" customFormat="false" ht="18.7" hidden="false" customHeight="true" outlineLevel="0" collapsed="false">
      <c r="A144" s="1" t="n">
        <v>143</v>
      </c>
      <c r="B144" s="7" t="str">
        <f aca="false">HYPERLINK("https://mncourtfraud.com/file/GES-8.zip","GES-8.zip")</f>
        <v>GES-8.zip</v>
      </c>
      <c r="C144" s="8" t="str">
        <f aca="false">HYPERLINK("https://mncourtfraud.com/file/27-CR-21-21355.pdf","27-CR-21-21355")</f>
        <v>27-CR-21-21355</v>
      </c>
      <c r="D144" s="3" t="s">
        <v>88</v>
      </c>
      <c r="E144" s="8" t="str">
        <f aca="false">HYPERLINK("https://mncourtfraud.com/file/MCRO_27-CR-21-21355_Order-Evaluation for Competency to Proceed (Rule 20.01)_2021-12-20_20240430083503.pdf","MCRO_27-CR-21-21355_Order-Evaluation for Competency to Proceed (Rule 20.01)_2021-12-20_20240430083503.pdf")</f>
        <v>MCRO_27-CR-21-21355_Order-Evaluation for Competency to Proceed (Rule 20.01)_2021-12-20_20240430083503.pdf</v>
      </c>
      <c r="F144" s="9" t="n">
        <v>44550</v>
      </c>
      <c r="G144" s="1" t="s">
        <v>116</v>
      </c>
      <c r="H144" s="3" t="s">
        <v>117</v>
      </c>
      <c r="I144" s="3" t="s">
        <v>118</v>
      </c>
      <c r="K144" s="10"/>
      <c r="N144" s="10"/>
    </row>
    <row r="145" customFormat="false" ht="18.7" hidden="false" customHeight="true" outlineLevel="0" collapsed="false">
      <c r="A145" s="1" t="n">
        <v>144</v>
      </c>
      <c r="B145" s="7" t="str">
        <f aca="false">HYPERLINK("https://mncourtfraud.com/file/GES-8.zip","GES-8.zip")</f>
        <v>GES-8.zip</v>
      </c>
      <c r="C145" s="8" t="str">
        <f aca="false">HYPERLINK("https://mncourtfraud.com/file/27-CR-21-23188.pdf","27-CR-21-23188")</f>
        <v>27-CR-21-23188</v>
      </c>
      <c r="D145" s="3" t="s">
        <v>88</v>
      </c>
      <c r="E145" s="8" t="str">
        <f aca="false">HYPERLINK("https://mncourtfraud.com/file/MCRO_27-CR-21-23188_Order-Evaluation for Competency to Proceed (Rule 20.01)_2021-12-20_20240430083755.pdf","MCRO_27-CR-21-23188_Order-Evaluation for Competency to Proceed (Rule 20.01)_2021-12-20_20240430083755.pdf")</f>
        <v>MCRO_27-CR-21-23188_Order-Evaluation for Competency to Proceed (Rule 20.01)_2021-12-20_20240430083755.pdf</v>
      </c>
      <c r="F145" s="9" t="n">
        <v>44550</v>
      </c>
      <c r="G145" s="1" t="s">
        <v>116</v>
      </c>
      <c r="H145" s="3" t="s">
        <v>117</v>
      </c>
      <c r="I145" s="3" t="s">
        <v>118</v>
      </c>
      <c r="K145" s="10"/>
      <c r="N145" s="10"/>
    </row>
    <row r="146" customFormat="false" ht="18.7" hidden="false" customHeight="true" outlineLevel="0" collapsed="false">
      <c r="A146" s="1" t="n">
        <v>145</v>
      </c>
      <c r="B146" s="7" t="str">
        <f aca="false">HYPERLINK("https://mncourtfraud.com/file/GES-8.zip","GES-8.zip")</f>
        <v>GES-8.zip</v>
      </c>
      <c r="C146" s="8" t="str">
        <f aca="false">HYPERLINK("https://mncourtfraud.com/file/27-CR-21-23215.pdf","27-CR-21-23215")</f>
        <v>27-CR-21-23215</v>
      </c>
      <c r="D146" s="3" t="s">
        <v>88</v>
      </c>
      <c r="E146" s="8" t="str">
        <f aca="false">HYPERLINK("https://mncourtfraud.com/file/MCRO_27-CR-21-23215_Order-Evaluation for Competency to Proceed (Rule 20.01)_2021-12-20_20240430084138.pdf","MCRO_27-CR-21-23215_Order-Evaluation for Competency to Proceed (Rule 20.01)_2021-12-20_20240430084138.pdf")</f>
        <v>MCRO_27-CR-21-23215_Order-Evaluation for Competency to Proceed (Rule 20.01)_2021-12-20_20240430084138.pdf</v>
      </c>
      <c r="F146" s="9" t="n">
        <v>44550</v>
      </c>
      <c r="G146" s="1" t="s">
        <v>116</v>
      </c>
      <c r="H146" s="3" t="s">
        <v>117</v>
      </c>
      <c r="I146" s="3" t="s">
        <v>118</v>
      </c>
      <c r="K146" s="10"/>
      <c r="N146" s="10"/>
    </row>
    <row r="147" customFormat="false" ht="18.7" hidden="false" customHeight="true" outlineLevel="0" collapsed="false">
      <c r="A147" s="1" t="n">
        <v>146</v>
      </c>
      <c r="F147" s="9"/>
      <c r="K147" s="10"/>
      <c r="N147" s="10"/>
    </row>
    <row r="148" customFormat="false" ht="18.7" hidden="false" customHeight="true" outlineLevel="0" collapsed="false">
      <c r="A148" s="1" t="n">
        <v>147</v>
      </c>
      <c r="B148" s="7" t="str">
        <f aca="false">HYPERLINK("https://mncourtfraud.com/file/GES-9.zip","GES-9.zip")</f>
        <v>GES-9.zip</v>
      </c>
      <c r="C148" s="8" t="str">
        <f aca="false">HYPERLINK("https://mncourtfraud.com/file/27-CR-21-1980.pdf","27-CR-21-1980")</f>
        <v>27-CR-21-1980</v>
      </c>
      <c r="D148" s="3" t="s">
        <v>85</v>
      </c>
      <c r="E148" s="8" t="str">
        <f aca="false">HYPERLINK("https://mncourtfraud.com/file/MCRO_27-CR-21-1980_Order for Conditional Release_2021-12-20_20240430080009.pdf","MCRO_27-CR-21-1980_Order for Conditional Release_2021-12-20_20240430080009.pdf")</f>
        <v>MCRO_27-CR-21-1980_Order for Conditional Release_2021-12-20_20240430080009.pdf</v>
      </c>
      <c r="F148" s="9" t="n">
        <v>44550</v>
      </c>
      <c r="G148" s="1" t="s">
        <v>119</v>
      </c>
      <c r="H148" s="3" t="s">
        <v>120</v>
      </c>
      <c r="I148" s="3" t="s">
        <v>121</v>
      </c>
      <c r="K148" s="10"/>
      <c r="N148" s="10"/>
    </row>
    <row r="149" customFormat="false" ht="18.7" hidden="false" customHeight="true" outlineLevel="0" collapsed="false">
      <c r="A149" s="1" t="n">
        <v>148</v>
      </c>
      <c r="B149" s="7" t="str">
        <f aca="false">HYPERLINK("https://mncourtfraud.com/file/GES-9.zip","GES-9.zip")</f>
        <v>GES-9.zip</v>
      </c>
      <c r="C149" s="8" t="str">
        <f aca="false">HYPERLINK("https://mncourtfraud.com/file/27-CR-21-20072.pdf","27-CR-21-20072")</f>
        <v>27-CR-21-20072</v>
      </c>
      <c r="D149" s="3" t="s">
        <v>85</v>
      </c>
      <c r="E149" s="8" t="str">
        <f aca="false">HYPERLINK("https://mncourtfraud.com/file/MCRO_27-CR-21-20072_Order for Conditional Release_2021-12-20_20240430083106.pdf","MCRO_27-CR-21-20072_Order for Conditional Release_2021-12-20_20240430083106.pdf")</f>
        <v>MCRO_27-CR-21-20072_Order for Conditional Release_2021-12-20_20240430083106.pdf</v>
      </c>
      <c r="F149" s="9" t="n">
        <v>44550</v>
      </c>
      <c r="G149" s="1" t="s">
        <v>119</v>
      </c>
      <c r="H149" s="3" t="s">
        <v>120</v>
      </c>
      <c r="I149" s="3" t="s">
        <v>121</v>
      </c>
      <c r="K149" s="10"/>
      <c r="N149" s="10"/>
    </row>
    <row r="150" customFormat="false" ht="18.7" hidden="false" customHeight="true" outlineLevel="0" collapsed="false">
      <c r="A150" s="1" t="n">
        <v>149</v>
      </c>
      <c r="B150" s="7" t="str">
        <f aca="false">HYPERLINK("https://mncourtfraud.com/file/GES-9.zip","GES-9.zip")</f>
        <v>GES-9.zip</v>
      </c>
      <c r="C150" s="8" t="str">
        <f aca="false">HYPERLINK("https://mncourtfraud.com/file/27-CR-21-20988.pdf","27-CR-21-20988")</f>
        <v>27-CR-21-20988</v>
      </c>
      <c r="D150" s="3" t="s">
        <v>88</v>
      </c>
      <c r="E150" s="8" t="str">
        <f aca="false">HYPERLINK("https://mncourtfraud.com/file/MCRO_27-CR-21-20988_Order for Conditional Release_2021-12-20_20240430083354.pdf","MCRO_27-CR-21-20988_Order for Conditional Release_2021-12-20_20240430083354.pdf")</f>
        <v>MCRO_27-CR-21-20988_Order for Conditional Release_2021-12-20_20240430083354.pdf</v>
      </c>
      <c r="F150" s="9" t="n">
        <v>44550</v>
      </c>
      <c r="G150" s="1" t="s">
        <v>119</v>
      </c>
      <c r="H150" s="3" t="s">
        <v>120</v>
      </c>
      <c r="I150" s="3" t="s">
        <v>121</v>
      </c>
      <c r="K150" s="10"/>
      <c r="N150" s="10"/>
    </row>
    <row r="151" customFormat="false" ht="18.7" hidden="false" customHeight="true" outlineLevel="0" collapsed="false">
      <c r="A151" s="1" t="n">
        <v>150</v>
      </c>
      <c r="B151" s="7" t="str">
        <f aca="false">HYPERLINK("https://mncourtfraud.com/file/GES-9.zip","GES-9.zip")</f>
        <v>GES-9.zip</v>
      </c>
      <c r="C151" s="8" t="str">
        <f aca="false">HYPERLINK("https://mncourtfraud.com/file/27-CR-21-21355.pdf","27-CR-21-21355")</f>
        <v>27-CR-21-21355</v>
      </c>
      <c r="D151" s="3" t="s">
        <v>88</v>
      </c>
      <c r="E151" s="8" t="str">
        <f aca="false">HYPERLINK("https://mncourtfraud.com/file/MCRO_27-CR-21-21355_Order for Conditional Release_2021-12-20_20240430083502.pdf","MCRO_27-CR-21-21355_Order for Conditional Release_2021-12-20_20240430083502.pdf")</f>
        <v>MCRO_27-CR-21-21355_Order for Conditional Release_2021-12-20_20240430083502.pdf</v>
      </c>
      <c r="F151" s="9" t="n">
        <v>44550</v>
      </c>
      <c r="G151" s="1" t="s">
        <v>119</v>
      </c>
      <c r="H151" s="3" t="s">
        <v>120</v>
      </c>
      <c r="I151" s="3" t="s">
        <v>121</v>
      </c>
      <c r="K151" s="10"/>
      <c r="N151" s="10"/>
    </row>
    <row r="152" customFormat="false" ht="18.7" hidden="false" customHeight="true" outlineLevel="0" collapsed="false">
      <c r="A152" s="1" t="n">
        <v>151</v>
      </c>
      <c r="B152" s="7" t="str">
        <f aca="false">HYPERLINK("https://mncourtfraud.com/file/GES-9.zip","GES-9.zip")</f>
        <v>GES-9.zip</v>
      </c>
      <c r="C152" s="8" t="str">
        <f aca="false">HYPERLINK("https://mncourtfraud.com/file/27-CR-21-23188.pdf","27-CR-21-23188")</f>
        <v>27-CR-21-23188</v>
      </c>
      <c r="D152" s="3" t="s">
        <v>88</v>
      </c>
      <c r="E152" s="8" t="str">
        <f aca="false">HYPERLINK("https://mncourtfraud.com/file/MCRO_27-CR-21-23188_Order for Conditional Release_2021-12-20_20240430083753.pdf","MCRO_27-CR-21-23188_Order for Conditional Release_2021-12-20_20240430083753.pdf")</f>
        <v>MCRO_27-CR-21-23188_Order for Conditional Release_2021-12-20_20240430083753.pdf</v>
      </c>
      <c r="F152" s="9" t="n">
        <v>44550</v>
      </c>
      <c r="G152" s="1" t="s">
        <v>119</v>
      </c>
      <c r="H152" s="3" t="s">
        <v>120</v>
      </c>
      <c r="I152" s="3" t="s">
        <v>121</v>
      </c>
      <c r="K152" s="10"/>
      <c r="N152" s="10"/>
    </row>
    <row r="153" customFormat="false" ht="18.7" hidden="false" customHeight="true" outlineLevel="0" collapsed="false">
      <c r="A153" s="1" t="n">
        <v>152</v>
      </c>
      <c r="B153" s="7" t="str">
        <f aca="false">HYPERLINK("https://mncourtfraud.com/file/GES-9.zip","GES-9.zip")</f>
        <v>GES-9.zip</v>
      </c>
      <c r="C153" s="8" t="str">
        <f aca="false">HYPERLINK("https://mncourtfraud.com/file/27-CR-21-23215.pdf","27-CR-21-23215")</f>
        <v>27-CR-21-23215</v>
      </c>
      <c r="D153" s="3" t="s">
        <v>88</v>
      </c>
      <c r="E153" s="8" t="str">
        <f aca="false">HYPERLINK("https://mncourtfraud.com/file/MCRO_27-CR-21-23215_Order for Conditional Release_2021-12-20_20240430084137.pdf","MCRO_27-CR-21-23215_Order for Conditional Release_2021-12-20_20240430084137.pdf")</f>
        <v>MCRO_27-CR-21-23215_Order for Conditional Release_2021-12-20_20240430084137.pdf</v>
      </c>
      <c r="F153" s="9" t="n">
        <v>44550</v>
      </c>
      <c r="G153" s="1" t="s">
        <v>119</v>
      </c>
      <c r="H153" s="3" t="s">
        <v>120</v>
      </c>
      <c r="I153" s="3" t="s">
        <v>121</v>
      </c>
      <c r="K153" s="10"/>
      <c r="N153" s="10"/>
    </row>
    <row r="154" customFormat="false" ht="18.7" hidden="false" customHeight="true" outlineLevel="0" collapsed="false">
      <c r="A154" s="1" t="n">
        <v>153</v>
      </c>
      <c r="F154" s="9"/>
      <c r="K154" s="10"/>
      <c r="N154" s="10"/>
    </row>
    <row r="155" customFormat="false" ht="18.7" hidden="false" customHeight="true" outlineLevel="0" collapsed="false">
      <c r="A155" s="1" t="n">
        <v>154</v>
      </c>
      <c r="B155" s="7" t="str">
        <f aca="false">HYPERLINK("https://mncourtfraud.com/file/GES-10.zip","GES-10.zip")</f>
        <v>GES-10.zip</v>
      </c>
      <c r="C155" s="8" t="str">
        <f aca="false">HYPERLINK("https://mncourtfraud.com/file/27-CR-21-1980.pdf","27-CR-21-1980")</f>
        <v>27-CR-21-1980</v>
      </c>
      <c r="D155" s="3" t="s">
        <v>85</v>
      </c>
      <c r="E155" s="8" t="str">
        <f aca="false">HYPERLINK("https://mncourtfraud.com/file/MCRO_27-CR-21-1980_Other Document_2022-02-28_20240430080008.pdf","MCRO_27-CR-21-1980_Other Document_2022-02-28_20240430080008.pdf")</f>
        <v>MCRO_27-CR-21-1980_Other Document_2022-02-28_20240430080008.pdf</v>
      </c>
      <c r="F155" s="9" t="n">
        <v>44620</v>
      </c>
      <c r="G155" s="1" t="s">
        <v>122</v>
      </c>
      <c r="H155" s="3" t="s">
        <v>123</v>
      </c>
      <c r="I155" s="3" t="s">
        <v>124</v>
      </c>
      <c r="K155" s="10"/>
      <c r="N155" s="10"/>
    </row>
    <row r="156" customFormat="false" ht="18.7" hidden="false" customHeight="true" outlineLevel="0" collapsed="false">
      <c r="A156" s="1" t="n">
        <v>155</v>
      </c>
      <c r="B156" s="7" t="str">
        <f aca="false">HYPERLINK("https://mncourtfraud.com/file/GES-10.zip","GES-10.zip")</f>
        <v>GES-10.zip</v>
      </c>
      <c r="C156" s="8" t="str">
        <f aca="false">HYPERLINK("https://mncourtfraud.com/file/27-CR-21-20072.pdf","27-CR-21-20072")</f>
        <v>27-CR-21-20072</v>
      </c>
      <c r="D156" s="3" t="s">
        <v>85</v>
      </c>
      <c r="E156" s="8" t="str">
        <f aca="false">HYPERLINK("https://mncourtfraud.com/file/MCRO_27-CR-21-20072_Other Document_2022-02-28_20240430083105.pdf","MCRO_27-CR-21-20072_Other Document_2022-02-28_20240430083105.pdf")</f>
        <v>MCRO_27-CR-21-20072_Other Document_2022-02-28_20240430083105.pdf</v>
      </c>
      <c r="F156" s="9" t="n">
        <v>44620</v>
      </c>
      <c r="G156" s="1" t="s">
        <v>122</v>
      </c>
      <c r="H156" s="3" t="s">
        <v>123</v>
      </c>
      <c r="I156" s="3" t="s">
        <v>124</v>
      </c>
      <c r="K156" s="10"/>
      <c r="N156" s="10"/>
    </row>
    <row r="157" customFormat="false" ht="18.7" hidden="false" customHeight="true" outlineLevel="0" collapsed="false">
      <c r="A157" s="1" t="n">
        <v>156</v>
      </c>
      <c r="B157" s="7" t="str">
        <f aca="false">HYPERLINK("https://mncourtfraud.com/file/GES-10.zip","GES-10.zip")</f>
        <v>GES-10.zip</v>
      </c>
      <c r="C157" s="8" t="str">
        <f aca="false">HYPERLINK("https://mncourtfraud.com/file/27-CR-21-20988.pdf","27-CR-21-20988")</f>
        <v>27-CR-21-20988</v>
      </c>
      <c r="D157" s="3" t="s">
        <v>88</v>
      </c>
      <c r="E157" s="8" t="str">
        <f aca="false">HYPERLINK("https://mncourtfraud.com/file/MCRO_27-CR-21-20988_Other Document_2022-02-28_20240430083353.pdf","MCRO_27-CR-21-20988_Other Document_2022-02-28_20240430083353.pdf")</f>
        <v>MCRO_27-CR-21-20988_Other Document_2022-02-28_20240430083353.pdf</v>
      </c>
      <c r="F157" s="9" t="n">
        <v>44620</v>
      </c>
      <c r="G157" s="1" t="s">
        <v>122</v>
      </c>
      <c r="H157" s="3" t="s">
        <v>123</v>
      </c>
      <c r="I157" s="3" t="s">
        <v>124</v>
      </c>
      <c r="K157" s="10"/>
      <c r="N157" s="10"/>
    </row>
    <row r="158" customFormat="false" ht="18.7" hidden="false" customHeight="true" outlineLevel="0" collapsed="false">
      <c r="A158" s="1" t="n">
        <v>157</v>
      </c>
      <c r="B158" s="7" t="str">
        <f aca="false">HYPERLINK("https://mncourtfraud.com/file/GES-10.zip","GES-10.zip")</f>
        <v>GES-10.zip</v>
      </c>
      <c r="C158" s="8" t="str">
        <f aca="false">HYPERLINK("https://mncourtfraud.com/file/27-CR-21-21355.pdf","27-CR-21-21355")</f>
        <v>27-CR-21-21355</v>
      </c>
      <c r="D158" s="3" t="s">
        <v>88</v>
      </c>
      <c r="E158" s="8" t="str">
        <f aca="false">HYPERLINK("https://mncourtfraud.com/file/MCRO_27-CR-21-21355_Other Document_2022-02-28_20240430083501.pdf","MCRO_27-CR-21-21355_Other Document_2022-02-28_20240430083501.pdf")</f>
        <v>MCRO_27-CR-21-21355_Other Document_2022-02-28_20240430083501.pdf</v>
      </c>
      <c r="F158" s="9" t="n">
        <v>44620</v>
      </c>
      <c r="G158" s="1" t="s">
        <v>122</v>
      </c>
      <c r="H158" s="3" t="s">
        <v>123</v>
      </c>
      <c r="I158" s="3" t="s">
        <v>124</v>
      </c>
      <c r="K158" s="10"/>
      <c r="N158" s="10"/>
    </row>
    <row r="159" customFormat="false" ht="18.7" hidden="false" customHeight="true" outlineLevel="0" collapsed="false">
      <c r="A159" s="1" t="n">
        <v>158</v>
      </c>
      <c r="B159" s="7" t="str">
        <f aca="false">HYPERLINK("https://mncourtfraud.com/file/GES-10.zip","GES-10.zip")</f>
        <v>GES-10.zip</v>
      </c>
      <c r="C159" s="8" t="str">
        <f aca="false">HYPERLINK("https://mncourtfraud.com/file/27-CR-21-23188.pdf","27-CR-21-23188")</f>
        <v>27-CR-21-23188</v>
      </c>
      <c r="D159" s="3" t="s">
        <v>88</v>
      </c>
      <c r="E159" s="8" t="str">
        <f aca="false">HYPERLINK("https://mncourtfraud.com/file/MCRO_27-CR-21-23188_Other Document_2022-03-02_20240430083751.pdf","MCRO_27-CR-21-23188_Other Document_2022-03-02_20240430083751.pdf")</f>
        <v>MCRO_27-CR-21-23188_Other Document_2022-03-02_20240430083751.pdf</v>
      </c>
      <c r="F159" s="9" t="n">
        <v>44622</v>
      </c>
      <c r="G159" s="1" t="s">
        <v>122</v>
      </c>
      <c r="H159" s="3" t="s">
        <v>123</v>
      </c>
      <c r="I159" s="3" t="s">
        <v>124</v>
      </c>
      <c r="K159" s="10"/>
      <c r="N159" s="10"/>
    </row>
    <row r="160" customFormat="false" ht="18.7" hidden="false" customHeight="true" outlineLevel="0" collapsed="false">
      <c r="A160" s="1" t="n">
        <v>159</v>
      </c>
      <c r="B160" s="7" t="str">
        <f aca="false">HYPERLINK("https://mncourtfraud.com/file/GES-10.zip","GES-10.zip")</f>
        <v>GES-10.zip</v>
      </c>
      <c r="C160" s="8" t="str">
        <f aca="false">HYPERLINK("https://mncourtfraud.com/file/27-CR-21-23215.pdf","27-CR-21-23215")</f>
        <v>27-CR-21-23215</v>
      </c>
      <c r="D160" s="3" t="s">
        <v>88</v>
      </c>
      <c r="E160" s="8" t="str">
        <f aca="false">HYPERLINK("https://mncourtfraud.com/file/MCRO_27-CR-21-23215_Other Document_2022-03-02_20240430084135.pdf","MCRO_27-CR-21-23215_Other Document_2022-03-02_20240430084135.pdf")</f>
        <v>MCRO_27-CR-21-23215_Other Document_2022-03-02_20240430084135.pdf</v>
      </c>
      <c r="F160" s="9" t="n">
        <v>44622</v>
      </c>
      <c r="G160" s="1" t="s">
        <v>122</v>
      </c>
      <c r="H160" s="3" t="s">
        <v>123</v>
      </c>
      <c r="I160" s="3" t="s">
        <v>124</v>
      </c>
      <c r="K160" s="10"/>
      <c r="N160" s="10"/>
    </row>
    <row r="161" customFormat="false" ht="18.7" hidden="false" customHeight="true" outlineLevel="0" collapsed="false">
      <c r="A161" s="1" t="n">
        <v>160</v>
      </c>
      <c r="F161" s="9"/>
      <c r="K161" s="10"/>
      <c r="N161" s="10"/>
    </row>
    <row r="162" customFormat="false" ht="18.7" hidden="false" customHeight="true" outlineLevel="0" collapsed="false">
      <c r="A162" s="1" t="n">
        <v>161</v>
      </c>
      <c r="B162" s="7" t="str">
        <f aca="false">HYPERLINK("https://mncourtfraud.com/file/GES-11.zip","GES-11.zip")</f>
        <v>GES-11.zip</v>
      </c>
      <c r="C162" s="8" t="str">
        <f aca="false">HYPERLINK("https://mncourtfraud.com/file/27-CR-21-1980.pdf","27-CR-21-1980")</f>
        <v>27-CR-21-1980</v>
      </c>
      <c r="D162" s="3" t="s">
        <v>85</v>
      </c>
      <c r="E162" s="8" t="str">
        <f aca="false">HYPERLINK("https://mncourtfraud.com/file/MCRO_27-CR-21-1980_Other Document_2022-05-31_20240430080006.pdf","MCRO_27-CR-21-1980_Other Document_2022-05-31_20240430080006.pdf")</f>
        <v>MCRO_27-CR-21-1980_Other Document_2022-05-31_20240430080006.pdf</v>
      </c>
      <c r="F162" s="9" t="n">
        <v>44712</v>
      </c>
      <c r="G162" s="1" t="s">
        <v>125</v>
      </c>
      <c r="H162" s="3" t="s">
        <v>126</v>
      </c>
      <c r="I162" s="3" t="s">
        <v>127</v>
      </c>
      <c r="K162" s="10"/>
      <c r="N162" s="10"/>
    </row>
    <row r="163" customFormat="false" ht="18.7" hidden="false" customHeight="true" outlineLevel="0" collapsed="false">
      <c r="A163" s="1" t="n">
        <v>162</v>
      </c>
      <c r="B163" s="7" t="str">
        <f aca="false">HYPERLINK("https://mncourtfraud.com/file/GES-11.zip","GES-11.zip")</f>
        <v>GES-11.zip</v>
      </c>
      <c r="C163" s="8" t="str">
        <f aca="false">HYPERLINK("https://mncourtfraud.com/file/27-CR-21-20072.pdf","27-CR-21-20072")</f>
        <v>27-CR-21-20072</v>
      </c>
      <c r="D163" s="3" t="s">
        <v>85</v>
      </c>
      <c r="E163" s="8" t="str">
        <f aca="false">HYPERLINK("https://mncourtfraud.com/file/MCRO_27-CR-21-20072_Other Document_2022-05-31_20240430083058.pdf","MCRO_27-CR-21-20072_Other Document_2022-05-31_20240430083058.pdf")</f>
        <v>MCRO_27-CR-21-20072_Other Document_2022-05-31_20240430083058.pdf</v>
      </c>
      <c r="F163" s="9" t="n">
        <v>44712</v>
      </c>
      <c r="G163" s="1" t="s">
        <v>125</v>
      </c>
      <c r="H163" s="3" t="s">
        <v>126</v>
      </c>
      <c r="I163" s="3" t="s">
        <v>127</v>
      </c>
      <c r="K163" s="10"/>
      <c r="N163" s="10"/>
    </row>
    <row r="164" customFormat="false" ht="18.7" hidden="false" customHeight="true" outlineLevel="0" collapsed="false">
      <c r="A164" s="1" t="n">
        <v>163</v>
      </c>
      <c r="B164" s="7" t="str">
        <f aca="false">HYPERLINK("https://mncourtfraud.com/file/GES-11.zip","GES-11.zip")</f>
        <v>GES-11.zip</v>
      </c>
      <c r="C164" s="8" t="str">
        <f aca="false">HYPERLINK("https://mncourtfraud.com/file/27-CR-21-20988.pdf","27-CR-21-20988")</f>
        <v>27-CR-21-20988</v>
      </c>
      <c r="D164" s="3" t="s">
        <v>88</v>
      </c>
      <c r="E164" s="8" t="str">
        <f aca="false">HYPERLINK("https://mncourtfraud.com/file/MCRO_27-CR-21-20988_Other Document_2022-05-31_20240430083351.pdf","MCRO_27-CR-21-20988_Other Document_2022-05-31_20240430083351.pdf")</f>
        <v>MCRO_27-CR-21-20988_Other Document_2022-05-31_20240430083351.pdf</v>
      </c>
      <c r="F164" s="9" t="n">
        <v>44712</v>
      </c>
      <c r="G164" s="1" t="s">
        <v>125</v>
      </c>
      <c r="H164" s="3" t="s">
        <v>126</v>
      </c>
      <c r="I164" s="3" t="s">
        <v>127</v>
      </c>
      <c r="K164" s="10"/>
      <c r="N164" s="10"/>
    </row>
    <row r="165" customFormat="false" ht="18.7" hidden="false" customHeight="true" outlineLevel="0" collapsed="false">
      <c r="A165" s="1" t="n">
        <v>164</v>
      </c>
      <c r="B165" s="7" t="str">
        <f aca="false">HYPERLINK("https://mncourtfraud.com/file/GES-11.zip","GES-11.zip")</f>
        <v>GES-11.zip</v>
      </c>
      <c r="C165" s="8" t="str">
        <f aca="false">HYPERLINK("https://mncourtfraud.com/file/27-CR-21-21355.pdf","27-CR-21-21355")</f>
        <v>27-CR-21-21355</v>
      </c>
      <c r="D165" s="3" t="s">
        <v>88</v>
      </c>
      <c r="E165" s="8" t="str">
        <f aca="false">HYPERLINK("https://mncourtfraud.com/file/MCRO_27-CR-21-21355_Other Document_2022-05-31_20240430083459.pdf","MCRO_27-CR-21-21355_Other Document_2022-05-31_20240430083459.pdf")</f>
        <v>MCRO_27-CR-21-21355_Other Document_2022-05-31_20240430083459.pdf</v>
      </c>
      <c r="F165" s="9" t="n">
        <v>44712</v>
      </c>
      <c r="G165" s="1" t="s">
        <v>125</v>
      </c>
      <c r="H165" s="3" t="s">
        <v>126</v>
      </c>
      <c r="I165" s="3" t="s">
        <v>127</v>
      </c>
      <c r="K165" s="10"/>
      <c r="N165" s="10"/>
    </row>
    <row r="166" customFormat="false" ht="18.7" hidden="false" customHeight="true" outlineLevel="0" collapsed="false">
      <c r="A166" s="1" t="n">
        <v>165</v>
      </c>
      <c r="B166" s="7" t="str">
        <f aca="false">HYPERLINK("https://mncourtfraud.com/file/GES-11.zip","GES-11.zip")</f>
        <v>GES-11.zip</v>
      </c>
      <c r="C166" s="8" t="str">
        <f aca="false">HYPERLINK("https://mncourtfraud.com/file/27-CR-21-23188.pdf","27-CR-21-23188")</f>
        <v>27-CR-21-23188</v>
      </c>
      <c r="D166" s="3" t="s">
        <v>88</v>
      </c>
      <c r="E166" s="8" t="str">
        <f aca="false">HYPERLINK("https://mncourtfraud.com/file/MCRO_27-CR-21-23188_Other Document_2022-05-31_20240430083748.pdf","MCRO_27-CR-21-23188_Other Document_2022-05-31_20240430083748.pdf")</f>
        <v>MCRO_27-CR-21-23188_Other Document_2022-05-31_20240430083748.pdf</v>
      </c>
      <c r="F166" s="9" t="n">
        <v>44712</v>
      </c>
      <c r="G166" s="1" t="s">
        <v>125</v>
      </c>
      <c r="H166" s="3" t="s">
        <v>126</v>
      </c>
      <c r="I166" s="3" t="s">
        <v>127</v>
      </c>
      <c r="K166" s="10"/>
      <c r="N166" s="10"/>
    </row>
    <row r="167" customFormat="false" ht="18.7" hidden="false" customHeight="true" outlineLevel="0" collapsed="false">
      <c r="A167" s="1" t="n">
        <v>166</v>
      </c>
      <c r="B167" s="7" t="str">
        <f aca="false">HYPERLINK("https://mncourtfraud.com/file/GES-11.zip","GES-11.zip")</f>
        <v>GES-11.zip</v>
      </c>
      <c r="C167" s="8" t="str">
        <f aca="false">HYPERLINK("https://mncourtfraud.com/file/27-CR-21-23215.pdf","27-CR-21-23215")</f>
        <v>27-CR-21-23215</v>
      </c>
      <c r="D167" s="3" t="s">
        <v>88</v>
      </c>
      <c r="E167" s="8" t="str">
        <f aca="false">HYPERLINK("https://mncourtfraud.com/file/MCRO_27-CR-21-23215_Other Document_2022-05-31_20240430084131.pdf","MCRO_27-CR-21-23215_Other Document_2022-05-31_20240430084131.pdf")</f>
        <v>MCRO_27-CR-21-23215_Other Document_2022-05-31_20240430084131.pdf</v>
      </c>
      <c r="F167" s="9" t="n">
        <v>44712</v>
      </c>
      <c r="G167" s="1" t="s">
        <v>125</v>
      </c>
      <c r="H167" s="3" t="s">
        <v>126</v>
      </c>
      <c r="I167" s="3" t="s">
        <v>127</v>
      </c>
      <c r="K167" s="10"/>
      <c r="N167" s="10"/>
    </row>
    <row r="168" customFormat="false" ht="18.7" hidden="false" customHeight="true" outlineLevel="0" collapsed="false">
      <c r="A168" s="1" t="n">
        <v>167</v>
      </c>
      <c r="B168" s="7" t="str">
        <f aca="false">HYPERLINK("https://mncourtfraud.com/file/GES-11.zip","GES-11.zip")</f>
        <v>GES-11.zip</v>
      </c>
      <c r="C168" s="8" t="str">
        <f aca="false">HYPERLINK("https://mncourtfraud.com/file/27-CR-22-4087.pdf","27-CR-22-4087")</f>
        <v>27-CR-22-4087</v>
      </c>
      <c r="D168" s="3" t="s">
        <v>88</v>
      </c>
      <c r="E168" s="8" t="str">
        <f aca="false">HYPERLINK("https://mncourtfraud.com/file/MCRO_27-CR-22-4087_Other Document_2022-05-31_20240429035323.pdf","MCRO_27-CR-22-4087_Other Document_2022-05-31_20240429035323.pdf")</f>
        <v>MCRO_27-CR-22-4087_Other Document_2022-05-31_20240429035323.pdf</v>
      </c>
      <c r="F168" s="9" t="n">
        <v>44712</v>
      </c>
      <c r="G168" s="1" t="s">
        <v>125</v>
      </c>
      <c r="H168" s="3" t="s">
        <v>126</v>
      </c>
      <c r="I168" s="3" t="s">
        <v>127</v>
      </c>
      <c r="K168" s="10"/>
      <c r="N168" s="10"/>
    </row>
    <row r="169" customFormat="false" ht="18.7" hidden="false" customHeight="true" outlineLevel="0" collapsed="false">
      <c r="A169" s="1" t="n">
        <v>168</v>
      </c>
      <c r="F169" s="9"/>
      <c r="K169" s="10"/>
      <c r="N169" s="10"/>
    </row>
    <row r="170" customFormat="false" ht="18.7" hidden="false" customHeight="true" outlineLevel="0" collapsed="false">
      <c r="A170" s="1" t="n">
        <v>169</v>
      </c>
      <c r="B170" s="7" t="str">
        <f aca="false">HYPERLINK("https://mncourtfraud.com/file/GES-12.zip","GES-12.zip")</f>
        <v>GES-12.zip</v>
      </c>
      <c r="C170" s="8" t="str">
        <f aca="false">HYPERLINK("https://mncourtfraud.com/file/27-CR-21-1980.pdf","27-CR-21-1980")</f>
        <v>27-CR-21-1980</v>
      </c>
      <c r="D170" s="3" t="s">
        <v>85</v>
      </c>
      <c r="E170" s="8" t="str">
        <f aca="false">HYPERLINK("https://mncourtfraud.com/file/MCRO_27-CR-21-1980_Order-Evaluation for Competency to Proceed (Rule 20.01)_2022-08-09_20240430080005.pdf","MCRO_27-CR-21-1980_Order-Evaluation for Competency to Proceed (Rule 20.01)_2022-08-09_20240430080005.pdf")</f>
        <v>MCRO_27-CR-21-1980_Order-Evaluation for Competency to Proceed (Rule 20.01)_2022-08-09_20240430080005.pdf</v>
      </c>
      <c r="F170" s="9" t="n">
        <v>44782</v>
      </c>
      <c r="G170" s="1" t="s">
        <v>128</v>
      </c>
      <c r="H170" s="3" t="s">
        <v>129</v>
      </c>
      <c r="I170" s="3" t="s">
        <v>130</v>
      </c>
      <c r="K170" s="10"/>
      <c r="N170" s="10"/>
    </row>
    <row r="171" customFormat="false" ht="18.7" hidden="false" customHeight="true" outlineLevel="0" collapsed="false">
      <c r="A171" s="1" t="n">
        <v>170</v>
      </c>
      <c r="B171" s="7" t="str">
        <f aca="false">HYPERLINK("https://mncourtfraud.com/file/GES-12.zip","GES-12.zip")</f>
        <v>GES-12.zip</v>
      </c>
      <c r="C171" s="8" t="str">
        <f aca="false">HYPERLINK("https://mncourtfraud.com/file/27-CR-21-20072.pdf","27-CR-21-20072")</f>
        <v>27-CR-21-20072</v>
      </c>
      <c r="D171" s="3" t="s">
        <v>85</v>
      </c>
      <c r="E171" s="8" t="str">
        <f aca="false">HYPERLINK("https://mncourtfraud.com/file/MCRO_27-CR-21-20072_Order-Evaluation for Competency to Proceed (Rule 20.01)_2022-08-09_20240430083056.pdf","MCRO_27-CR-21-20072_Order-Evaluation for Competency to Proceed (Rule 20.01)_2022-08-09_20240430083056.pdf")</f>
        <v>MCRO_27-CR-21-20072_Order-Evaluation for Competency to Proceed (Rule 20.01)_2022-08-09_20240430083056.pdf</v>
      </c>
      <c r="F171" s="9" t="n">
        <v>44782</v>
      </c>
      <c r="G171" s="1" t="s">
        <v>128</v>
      </c>
      <c r="H171" s="3" t="s">
        <v>129</v>
      </c>
      <c r="I171" s="3" t="s">
        <v>130</v>
      </c>
      <c r="K171" s="10"/>
      <c r="N171" s="10"/>
    </row>
    <row r="172" customFormat="false" ht="18.7" hidden="false" customHeight="true" outlineLevel="0" collapsed="false">
      <c r="A172" s="1" t="n">
        <v>171</v>
      </c>
      <c r="B172" s="7" t="str">
        <f aca="false">HYPERLINK("https://mncourtfraud.com/file/GES-12.zip","GES-12.zip")</f>
        <v>GES-12.zip</v>
      </c>
      <c r="C172" s="8" t="str">
        <f aca="false">HYPERLINK("https://mncourtfraud.com/file/27-CR-21-20988.pdf","27-CR-21-20988")</f>
        <v>27-CR-21-20988</v>
      </c>
      <c r="D172" s="3" t="s">
        <v>88</v>
      </c>
      <c r="E172" s="8" t="str">
        <f aca="false">HYPERLINK("https://mncourtfraud.com/file/MCRO_27-CR-21-20988_Order-Evaluation for Competency to Proceed (Rule 20.01)_2022-08-09_20240430083350.pdf","MCRO_27-CR-21-20988_Order-Evaluation for Competency to Proceed (Rule 20.01)_2022-08-09_20240430083350.pdf")</f>
        <v>MCRO_27-CR-21-20988_Order-Evaluation for Competency to Proceed (Rule 20.01)_2022-08-09_20240430083350.pdf</v>
      </c>
      <c r="F172" s="9" t="n">
        <v>44782</v>
      </c>
      <c r="G172" s="1" t="s">
        <v>128</v>
      </c>
      <c r="H172" s="3" t="s">
        <v>129</v>
      </c>
      <c r="I172" s="3" t="s">
        <v>130</v>
      </c>
      <c r="K172" s="10"/>
      <c r="N172" s="10"/>
    </row>
    <row r="173" customFormat="false" ht="18.7" hidden="false" customHeight="true" outlineLevel="0" collapsed="false">
      <c r="A173" s="1" t="n">
        <v>172</v>
      </c>
      <c r="B173" s="7" t="str">
        <f aca="false">HYPERLINK("https://mncourtfraud.com/file/GES-12.zip","GES-12.zip")</f>
        <v>GES-12.zip</v>
      </c>
      <c r="C173" s="8" t="str">
        <f aca="false">HYPERLINK("https://mncourtfraud.com/file/27-CR-21-21355.pdf","27-CR-21-21355")</f>
        <v>27-CR-21-21355</v>
      </c>
      <c r="D173" s="3" t="s">
        <v>88</v>
      </c>
      <c r="E173" s="8" t="str">
        <f aca="false">HYPERLINK("https://mncourtfraud.com/file/MCRO_27-CR-21-21355_Order-Evaluation for Competency to Proceed (Rule 20.01)_2022-08-09_20240430083458.pdf","MCRO_27-CR-21-21355_Order-Evaluation for Competency to Proceed (Rule 20.01)_2022-08-09_20240430083458.pdf")</f>
        <v>MCRO_27-CR-21-21355_Order-Evaluation for Competency to Proceed (Rule 20.01)_2022-08-09_20240430083458.pdf</v>
      </c>
      <c r="F173" s="9" t="n">
        <v>44782</v>
      </c>
      <c r="G173" s="1" t="s">
        <v>128</v>
      </c>
      <c r="H173" s="3" t="s">
        <v>129</v>
      </c>
      <c r="I173" s="3" t="s">
        <v>130</v>
      </c>
      <c r="K173" s="10"/>
      <c r="N173" s="10"/>
    </row>
    <row r="174" customFormat="false" ht="18.7" hidden="false" customHeight="true" outlineLevel="0" collapsed="false">
      <c r="A174" s="1" t="n">
        <v>173</v>
      </c>
      <c r="B174" s="7" t="str">
        <f aca="false">HYPERLINK("https://mncourtfraud.com/file/GES-12.zip","GES-12.zip")</f>
        <v>GES-12.zip</v>
      </c>
      <c r="C174" s="8" t="str">
        <f aca="false">HYPERLINK("https://mncourtfraud.com/file/27-CR-21-23188.pdf","27-CR-21-23188")</f>
        <v>27-CR-21-23188</v>
      </c>
      <c r="D174" s="3" t="s">
        <v>88</v>
      </c>
      <c r="E174" s="8" t="str">
        <f aca="false">HYPERLINK("https://mncourtfraud.com/file/MCRO_27-CR-21-23188_Order-Evaluation for Competency to Proceed (Rule 20.01)_2022-08-09_20240430083747.pdf","MCRO_27-CR-21-23188_Order-Evaluation for Competency to Proceed (Rule 20.01)_2022-08-09_20240430083747.pdf")</f>
        <v>MCRO_27-CR-21-23188_Order-Evaluation for Competency to Proceed (Rule 20.01)_2022-08-09_20240430083747.pdf</v>
      </c>
      <c r="F174" s="9" t="n">
        <v>44782</v>
      </c>
      <c r="G174" s="1" t="s">
        <v>128</v>
      </c>
      <c r="H174" s="3" t="s">
        <v>129</v>
      </c>
      <c r="I174" s="3" t="s">
        <v>130</v>
      </c>
      <c r="K174" s="10"/>
      <c r="N174" s="10"/>
    </row>
    <row r="175" customFormat="false" ht="18.7" hidden="false" customHeight="true" outlineLevel="0" collapsed="false">
      <c r="A175" s="1" t="n">
        <v>174</v>
      </c>
      <c r="B175" s="7" t="str">
        <f aca="false">HYPERLINK("https://mncourtfraud.com/file/GES-12.zip","GES-12.zip")</f>
        <v>GES-12.zip</v>
      </c>
      <c r="C175" s="8" t="str">
        <f aca="false">HYPERLINK("https://mncourtfraud.com/file/27-CR-21-23215.pdf","27-CR-21-23215")</f>
        <v>27-CR-21-23215</v>
      </c>
      <c r="D175" s="3" t="s">
        <v>88</v>
      </c>
      <c r="E175" s="8" t="str">
        <f aca="false">HYPERLINK("https://mncourtfraud.com/file/MCRO_27-CR-21-23215_Order-Evaluation for Competency to Proceed (Rule 20.01)_2022-08-09_20240430084130.pdf","MCRO_27-CR-21-23215_Order-Evaluation for Competency to Proceed (Rule 20.01)_2022-08-09_20240430084130.pdf")</f>
        <v>MCRO_27-CR-21-23215_Order-Evaluation for Competency to Proceed (Rule 20.01)_2022-08-09_20240430084130.pdf</v>
      </c>
      <c r="F175" s="9" t="n">
        <v>44782</v>
      </c>
      <c r="G175" s="1" t="s">
        <v>128</v>
      </c>
      <c r="H175" s="3" t="s">
        <v>129</v>
      </c>
      <c r="I175" s="3" t="s">
        <v>130</v>
      </c>
      <c r="K175" s="10"/>
      <c r="N175" s="10"/>
    </row>
    <row r="176" customFormat="false" ht="18.7" hidden="false" customHeight="true" outlineLevel="0" collapsed="false">
      <c r="A176" s="1" t="n">
        <v>175</v>
      </c>
      <c r="B176" s="7" t="str">
        <f aca="false">HYPERLINK("https://mncourtfraud.com/file/GES-12.zip","GES-12.zip")</f>
        <v>GES-12.zip</v>
      </c>
      <c r="C176" s="8" t="str">
        <f aca="false">HYPERLINK("https://mncourtfraud.com/file/27-CR-22-4087.pdf","27-CR-22-4087")</f>
        <v>27-CR-22-4087</v>
      </c>
      <c r="D176" s="3" t="s">
        <v>88</v>
      </c>
      <c r="E176" s="8" t="str">
        <f aca="false">HYPERLINK("https://mncourtfraud.com/file/MCRO_27-CR-22-4087_Order-Evaluation for Competency to Proceed (Rule 20.01)_2022-08-09_20240429035319.pdf","MCRO_27-CR-22-4087_Order-Evaluation for Competency to Proceed (Rule 20.01)_2022-08-09_20240429035319.pdf")</f>
        <v>MCRO_27-CR-22-4087_Order-Evaluation for Competency to Proceed (Rule 20.01)_2022-08-09_20240429035319.pdf</v>
      </c>
      <c r="F176" s="9" t="n">
        <v>44782</v>
      </c>
      <c r="G176" s="1" t="s">
        <v>128</v>
      </c>
      <c r="H176" s="3" t="s">
        <v>129</v>
      </c>
      <c r="I176" s="3" t="s">
        <v>130</v>
      </c>
      <c r="K176" s="10"/>
      <c r="N176" s="10"/>
    </row>
    <row r="177" customFormat="false" ht="18.7" hidden="false" customHeight="true" outlineLevel="0" collapsed="false">
      <c r="A177" s="1" t="n">
        <v>176</v>
      </c>
      <c r="F177" s="9"/>
      <c r="K177" s="10"/>
      <c r="N177" s="10"/>
    </row>
    <row r="178" customFormat="false" ht="18.7" hidden="false" customHeight="true" outlineLevel="0" collapsed="false">
      <c r="A178" s="1" t="n">
        <v>177</v>
      </c>
      <c r="B178" s="7" t="str">
        <f aca="false">HYPERLINK("https://mncourtfraud.com/file/GES-13.zip","GES-13.zip")</f>
        <v>GES-13.zip</v>
      </c>
      <c r="C178" s="8" t="str">
        <f aca="false">HYPERLINK("https://mncourtfraud.com/file/27-CR-21-1980.pdf","27-CR-21-1980")</f>
        <v>27-CR-21-1980</v>
      </c>
      <c r="D178" s="3" t="s">
        <v>85</v>
      </c>
      <c r="E178" s="8" t="str">
        <f aca="false">HYPERLINK("https://mncourtfraud.com/file/MCRO_27-CR-21-1980_Findings and Order_2022-09-13_20240430080004.pdf","MCRO_27-CR-21-1980_Findings and Order_2022-09-13_20240430080004.pdf")</f>
        <v>MCRO_27-CR-21-1980_Findings and Order_2022-09-13_20240430080004.pdf</v>
      </c>
      <c r="F178" s="9" t="n">
        <v>44817</v>
      </c>
      <c r="G178" s="1" t="s">
        <v>131</v>
      </c>
      <c r="H178" s="3" t="s">
        <v>132</v>
      </c>
      <c r="I178" s="3" t="s">
        <v>133</v>
      </c>
      <c r="K178" s="10"/>
      <c r="N178" s="10"/>
    </row>
    <row r="179" customFormat="false" ht="18.7" hidden="false" customHeight="true" outlineLevel="0" collapsed="false">
      <c r="A179" s="1" t="n">
        <v>178</v>
      </c>
      <c r="B179" s="7" t="str">
        <f aca="false">HYPERLINK("https://mncourtfraud.com/file/GES-13.zip","GES-13.zip")</f>
        <v>GES-13.zip</v>
      </c>
      <c r="C179" s="8" t="str">
        <f aca="false">HYPERLINK("https://mncourtfraud.com/file/27-CR-21-20072.pdf","27-CR-21-20072")</f>
        <v>27-CR-21-20072</v>
      </c>
      <c r="D179" s="3" t="s">
        <v>85</v>
      </c>
      <c r="E179" s="8" t="str">
        <f aca="false">HYPERLINK("https://mncourtfraud.com/file/MCRO_27-CR-21-20072_Findings and Order_2022-09-13_20240430083055.pdf","MCRO_27-CR-21-20072_Findings and Order_2022-09-13_20240430083055.pdf")</f>
        <v>MCRO_27-CR-21-20072_Findings and Order_2022-09-13_20240430083055.pdf</v>
      </c>
      <c r="F179" s="9" t="n">
        <v>44817</v>
      </c>
      <c r="G179" s="1" t="s">
        <v>131</v>
      </c>
      <c r="H179" s="3" t="s">
        <v>132</v>
      </c>
      <c r="I179" s="3" t="s">
        <v>133</v>
      </c>
      <c r="K179" s="10"/>
      <c r="N179" s="10"/>
    </row>
    <row r="180" customFormat="false" ht="18.7" hidden="false" customHeight="true" outlineLevel="0" collapsed="false">
      <c r="A180" s="1" t="n">
        <v>179</v>
      </c>
      <c r="B180" s="7" t="str">
        <f aca="false">HYPERLINK("https://mncourtfraud.com/file/GES-13.zip","GES-13.zip")</f>
        <v>GES-13.zip</v>
      </c>
      <c r="C180" s="8" t="str">
        <f aca="false">HYPERLINK("https://mncourtfraud.com/file/27-CR-21-20988.pdf","27-CR-21-20988")</f>
        <v>27-CR-21-20988</v>
      </c>
      <c r="D180" s="3" t="s">
        <v>88</v>
      </c>
      <c r="E180" s="8" t="str">
        <f aca="false">HYPERLINK("https://mncourtfraud.com/file/MCRO_27-CR-21-20988_Findings and Order_2022-09-13_20240430083349.pdf","MCRO_27-CR-21-20988_Findings and Order_2022-09-13_20240430083349.pdf")</f>
        <v>MCRO_27-CR-21-20988_Findings and Order_2022-09-13_20240430083349.pdf</v>
      </c>
      <c r="F180" s="9" t="n">
        <v>44817</v>
      </c>
      <c r="G180" s="1" t="s">
        <v>131</v>
      </c>
      <c r="H180" s="3" t="s">
        <v>132</v>
      </c>
      <c r="I180" s="3" t="s">
        <v>133</v>
      </c>
      <c r="K180" s="10"/>
      <c r="N180" s="10"/>
    </row>
    <row r="181" customFormat="false" ht="18.7" hidden="false" customHeight="true" outlineLevel="0" collapsed="false">
      <c r="A181" s="1" t="n">
        <v>180</v>
      </c>
      <c r="B181" s="7" t="str">
        <f aca="false">HYPERLINK("https://mncourtfraud.com/file/GES-13.zip","GES-13.zip")</f>
        <v>GES-13.zip</v>
      </c>
      <c r="C181" s="8" t="str">
        <f aca="false">HYPERLINK("https://mncourtfraud.com/file/27-CR-21-21355.pdf","27-CR-21-21355")</f>
        <v>27-CR-21-21355</v>
      </c>
      <c r="D181" s="3" t="s">
        <v>88</v>
      </c>
      <c r="E181" s="8" t="str">
        <f aca="false">HYPERLINK("https://mncourtfraud.com/file/MCRO_27-CR-21-21355_Findings and Order_2022-09-13_20240430083457.pdf","MCRO_27-CR-21-21355_Findings and Order_2022-09-13_20240430083457.pdf")</f>
        <v>MCRO_27-CR-21-21355_Findings and Order_2022-09-13_20240430083457.pdf</v>
      </c>
      <c r="F181" s="9" t="n">
        <v>44817</v>
      </c>
      <c r="G181" s="1" t="s">
        <v>131</v>
      </c>
      <c r="H181" s="3" t="s">
        <v>132</v>
      </c>
      <c r="I181" s="3" t="s">
        <v>133</v>
      </c>
      <c r="K181" s="10"/>
      <c r="N181" s="10"/>
    </row>
    <row r="182" customFormat="false" ht="18.7" hidden="false" customHeight="true" outlineLevel="0" collapsed="false">
      <c r="A182" s="1" t="n">
        <v>181</v>
      </c>
      <c r="B182" s="7" t="str">
        <f aca="false">HYPERLINK("https://mncourtfraud.com/file/GES-13.zip","GES-13.zip")</f>
        <v>GES-13.zip</v>
      </c>
      <c r="C182" s="8" t="str">
        <f aca="false">HYPERLINK("https://mncourtfraud.com/file/27-CR-21-23188.pdf","27-CR-21-23188")</f>
        <v>27-CR-21-23188</v>
      </c>
      <c r="D182" s="3" t="s">
        <v>88</v>
      </c>
      <c r="E182" s="8" t="str">
        <f aca="false">HYPERLINK("https://mncourtfraud.com/file/MCRO_27-CR-21-23188_Findings and Order_2022-09-13_20240430083746.pdf","MCRO_27-CR-21-23188_Findings and Order_2022-09-13_20240430083746.pdf")</f>
        <v>MCRO_27-CR-21-23188_Findings and Order_2022-09-13_20240430083746.pdf</v>
      </c>
      <c r="F182" s="9" t="n">
        <v>44817</v>
      </c>
      <c r="G182" s="1" t="s">
        <v>131</v>
      </c>
      <c r="H182" s="3" t="s">
        <v>132</v>
      </c>
      <c r="I182" s="3" t="s">
        <v>133</v>
      </c>
      <c r="K182" s="10"/>
      <c r="N182" s="10"/>
    </row>
    <row r="183" customFormat="false" ht="18.7" hidden="false" customHeight="true" outlineLevel="0" collapsed="false">
      <c r="A183" s="1" t="n">
        <v>182</v>
      </c>
      <c r="B183" s="7" t="str">
        <f aca="false">HYPERLINK("https://mncourtfraud.com/file/GES-13.zip","GES-13.zip")</f>
        <v>GES-13.zip</v>
      </c>
      <c r="C183" s="8" t="str">
        <f aca="false">HYPERLINK("https://mncourtfraud.com/file/27-CR-21-23215.pdf","27-CR-21-23215")</f>
        <v>27-CR-21-23215</v>
      </c>
      <c r="D183" s="3" t="s">
        <v>88</v>
      </c>
      <c r="E183" s="8" t="str">
        <f aca="false">HYPERLINK("https://mncourtfraud.com/file/MCRO_27-CR-21-23215_Findings and Order_2022-09-13_20240430084129.pdf","MCRO_27-CR-21-23215_Findings and Order_2022-09-13_20240430084129.pdf")</f>
        <v>MCRO_27-CR-21-23215_Findings and Order_2022-09-13_20240430084129.pdf</v>
      </c>
      <c r="F183" s="9" t="n">
        <v>44817</v>
      </c>
      <c r="G183" s="1" t="s">
        <v>131</v>
      </c>
      <c r="H183" s="3" t="s">
        <v>132</v>
      </c>
      <c r="I183" s="3" t="s">
        <v>133</v>
      </c>
      <c r="K183" s="10"/>
      <c r="N183" s="10"/>
    </row>
    <row r="184" customFormat="false" ht="18.7" hidden="false" customHeight="true" outlineLevel="0" collapsed="false">
      <c r="A184" s="1" t="n">
        <v>183</v>
      </c>
      <c r="B184" s="7" t="str">
        <f aca="false">HYPERLINK("https://mncourtfraud.com/file/GES-13.zip","GES-13.zip")</f>
        <v>GES-13.zip</v>
      </c>
      <c r="C184" s="8" t="str">
        <f aca="false">HYPERLINK("https://mncourtfraud.com/file/27-CR-22-4087.pdf","27-CR-22-4087")</f>
        <v>27-CR-22-4087</v>
      </c>
      <c r="D184" s="3" t="s">
        <v>88</v>
      </c>
      <c r="E184" s="8" t="str">
        <f aca="false">HYPERLINK("https://mncourtfraud.com/file/MCRO_27-CR-22-4087_Findings and Order_2022-09-13_20240429035316.pdf","MCRO_27-CR-22-4087_Findings and Order_2022-09-13_20240429035316.pdf")</f>
        <v>MCRO_27-CR-22-4087_Findings and Order_2022-09-13_20240429035316.pdf</v>
      </c>
      <c r="F184" s="9" t="n">
        <v>44817</v>
      </c>
      <c r="G184" s="1" t="s">
        <v>131</v>
      </c>
      <c r="H184" s="3" t="s">
        <v>132</v>
      </c>
      <c r="I184" s="3" t="s">
        <v>133</v>
      </c>
      <c r="K184" s="10"/>
      <c r="N184" s="10"/>
    </row>
    <row r="185" customFormat="false" ht="18.7" hidden="false" customHeight="true" outlineLevel="0" collapsed="false">
      <c r="A185" s="1" t="n">
        <v>184</v>
      </c>
      <c r="F185" s="9"/>
      <c r="K185" s="10"/>
      <c r="N185" s="10"/>
    </row>
    <row r="186" customFormat="false" ht="18.7" hidden="false" customHeight="true" outlineLevel="0" collapsed="false">
      <c r="A186" s="1" t="n">
        <v>185</v>
      </c>
      <c r="B186" s="7" t="str">
        <f aca="false">HYPERLINK("https://mncourtfraud.com/file/GES-14.zip","GES-14.zip")</f>
        <v>GES-14.zip</v>
      </c>
      <c r="C186" s="8" t="str">
        <f aca="false">HYPERLINK("https://mncourtfraud.com/file/27-CR-21-1980.pdf","27-CR-21-1980")</f>
        <v>27-CR-21-1980</v>
      </c>
      <c r="D186" s="3" t="s">
        <v>85</v>
      </c>
      <c r="E186" s="8" t="str">
        <f aca="false">HYPERLINK("https://mncourtfraud.com/file/MCRO_27-CR-21-1980_Order for Conditional Release_2022-10-04_20240430080003.pdf","MCRO_27-CR-21-1980_Order for Conditional Release_2022-10-04_20240430080003.pdf")</f>
        <v>MCRO_27-CR-21-1980_Order for Conditional Release_2022-10-04_20240430080003.pdf</v>
      </c>
      <c r="F186" s="9" t="n">
        <v>44838</v>
      </c>
      <c r="G186" s="1" t="s">
        <v>134</v>
      </c>
      <c r="H186" s="3" t="s">
        <v>135</v>
      </c>
      <c r="I186" s="3" t="s">
        <v>136</v>
      </c>
      <c r="K186" s="10"/>
      <c r="N186" s="10"/>
    </row>
    <row r="187" customFormat="false" ht="18.7" hidden="false" customHeight="true" outlineLevel="0" collapsed="false">
      <c r="A187" s="1" t="n">
        <v>186</v>
      </c>
      <c r="B187" s="7" t="str">
        <f aca="false">HYPERLINK("https://mncourtfraud.com/file/GES-14.zip","GES-14.zip")</f>
        <v>GES-14.zip</v>
      </c>
      <c r="C187" s="8" t="str">
        <f aca="false">HYPERLINK("https://mncourtfraud.com/file/27-CR-21-20072.pdf","27-CR-21-20072")</f>
        <v>27-CR-21-20072</v>
      </c>
      <c r="D187" s="3" t="s">
        <v>85</v>
      </c>
      <c r="E187" s="8" t="str">
        <f aca="false">HYPERLINK("https://mncourtfraud.com/file/MCRO_27-CR-21-20072_Order for Conditional Release_2022-10-04_20240430083054.pdf","MCRO_27-CR-21-20072_Order for Conditional Release_2022-10-04_20240430083054.pdf")</f>
        <v>MCRO_27-CR-21-20072_Order for Conditional Release_2022-10-04_20240430083054.pdf</v>
      </c>
      <c r="F187" s="9" t="n">
        <v>44838</v>
      </c>
      <c r="G187" s="1" t="s">
        <v>134</v>
      </c>
      <c r="H187" s="3" t="s">
        <v>135</v>
      </c>
      <c r="I187" s="3" t="s">
        <v>136</v>
      </c>
      <c r="K187" s="10"/>
      <c r="N187" s="10"/>
    </row>
    <row r="188" customFormat="false" ht="18.7" hidden="false" customHeight="true" outlineLevel="0" collapsed="false">
      <c r="A188" s="1" t="n">
        <v>187</v>
      </c>
      <c r="B188" s="7" t="str">
        <f aca="false">HYPERLINK("https://mncourtfraud.com/file/GES-14.zip","GES-14.zip")</f>
        <v>GES-14.zip</v>
      </c>
      <c r="C188" s="8" t="str">
        <f aca="false">HYPERLINK("https://mncourtfraud.com/file/27-CR-21-20988.pdf","27-CR-21-20988")</f>
        <v>27-CR-21-20988</v>
      </c>
      <c r="D188" s="3" t="s">
        <v>88</v>
      </c>
      <c r="E188" s="8" t="str">
        <f aca="false">HYPERLINK("https://mncourtfraud.com/file/MCRO_27-CR-21-20988_Order for Conditional Release_2022-10-04_20240430083348.pdf","MCRO_27-CR-21-20988_Order for Conditional Release_2022-10-04_20240430083348.pdf")</f>
        <v>MCRO_27-CR-21-20988_Order for Conditional Release_2022-10-04_20240430083348.pdf</v>
      </c>
      <c r="F188" s="9" t="n">
        <v>44838</v>
      </c>
      <c r="G188" s="1" t="s">
        <v>134</v>
      </c>
      <c r="H188" s="3" t="s">
        <v>135</v>
      </c>
      <c r="I188" s="3" t="s">
        <v>136</v>
      </c>
      <c r="K188" s="10"/>
      <c r="N188" s="10"/>
    </row>
    <row r="189" customFormat="false" ht="18.7" hidden="false" customHeight="true" outlineLevel="0" collapsed="false">
      <c r="A189" s="1" t="n">
        <v>188</v>
      </c>
      <c r="B189" s="7" t="str">
        <f aca="false">HYPERLINK("https://mncourtfraud.com/file/GES-14.zip","GES-14.zip")</f>
        <v>GES-14.zip</v>
      </c>
      <c r="C189" s="8" t="str">
        <f aca="false">HYPERLINK("https://mncourtfraud.com/file/27-CR-21-21355.pdf","27-CR-21-21355")</f>
        <v>27-CR-21-21355</v>
      </c>
      <c r="D189" s="3" t="s">
        <v>88</v>
      </c>
      <c r="E189" s="8" t="str">
        <f aca="false">HYPERLINK("https://mncourtfraud.com/file/MCRO_27-CR-21-21355_Order for Conditional Release_2022-10-04_20240430083456.pdf","MCRO_27-CR-21-21355_Order for Conditional Release_2022-10-04_20240430083456.pdf")</f>
        <v>MCRO_27-CR-21-21355_Order for Conditional Release_2022-10-04_20240430083456.pdf</v>
      </c>
      <c r="F189" s="9" t="n">
        <v>44838</v>
      </c>
      <c r="G189" s="1" t="s">
        <v>134</v>
      </c>
      <c r="H189" s="3" t="s">
        <v>135</v>
      </c>
      <c r="I189" s="3" t="s">
        <v>136</v>
      </c>
      <c r="K189" s="10"/>
      <c r="N189" s="10"/>
    </row>
    <row r="190" customFormat="false" ht="18.7" hidden="false" customHeight="true" outlineLevel="0" collapsed="false">
      <c r="A190" s="1" t="n">
        <v>189</v>
      </c>
      <c r="B190" s="7" t="str">
        <f aca="false">HYPERLINK("https://mncourtfraud.com/file/GES-14.zip","GES-14.zip")</f>
        <v>GES-14.zip</v>
      </c>
      <c r="C190" s="8" t="str">
        <f aca="false">HYPERLINK("https://mncourtfraud.com/file/27-CR-21-23188.pdf","27-CR-21-23188")</f>
        <v>27-CR-21-23188</v>
      </c>
      <c r="D190" s="3" t="s">
        <v>88</v>
      </c>
      <c r="E190" s="8" t="str">
        <f aca="false">HYPERLINK("https://mncourtfraud.com/file/MCRO_27-CR-21-23188_Order for Conditional Release_2022-10-04_20240430083745.pdf","MCRO_27-CR-21-23188_Order for Conditional Release_2022-10-04_20240430083745.pdf")</f>
        <v>MCRO_27-CR-21-23188_Order for Conditional Release_2022-10-04_20240430083745.pdf</v>
      </c>
      <c r="F190" s="9" t="n">
        <v>44838</v>
      </c>
      <c r="G190" s="1" t="s">
        <v>134</v>
      </c>
      <c r="H190" s="3" t="s">
        <v>135</v>
      </c>
      <c r="I190" s="3" t="s">
        <v>136</v>
      </c>
      <c r="K190" s="10"/>
      <c r="N190" s="10"/>
    </row>
    <row r="191" customFormat="false" ht="18.7" hidden="false" customHeight="true" outlineLevel="0" collapsed="false">
      <c r="A191" s="1" t="n">
        <v>190</v>
      </c>
      <c r="B191" s="7" t="str">
        <f aca="false">HYPERLINK("https://mncourtfraud.com/file/GES-14.zip","GES-14.zip")</f>
        <v>GES-14.zip</v>
      </c>
      <c r="C191" s="8" t="str">
        <f aca="false">HYPERLINK("https://mncourtfraud.com/file/27-CR-21-23215.pdf","27-CR-21-23215")</f>
        <v>27-CR-21-23215</v>
      </c>
      <c r="D191" s="3" t="s">
        <v>88</v>
      </c>
      <c r="E191" s="8" t="str">
        <f aca="false">HYPERLINK("https://mncourtfraud.com/file/MCRO_27-CR-21-23215_Order for Conditional Release_2022-10-04_20240430084128.pdf","MCRO_27-CR-21-23215_Order for Conditional Release_2022-10-04_20240430084128.pdf")</f>
        <v>MCRO_27-CR-21-23215_Order for Conditional Release_2022-10-04_20240430084128.pdf</v>
      </c>
      <c r="F191" s="9" t="n">
        <v>44838</v>
      </c>
      <c r="G191" s="1" t="s">
        <v>134</v>
      </c>
      <c r="H191" s="3" t="s">
        <v>135</v>
      </c>
      <c r="I191" s="3" t="s">
        <v>136</v>
      </c>
      <c r="K191" s="10"/>
      <c r="N191" s="10"/>
    </row>
    <row r="192" customFormat="false" ht="18.7" hidden="false" customHeight="true" outlineLevel="0" collapsed="false">
      <c r="A192" s="1" t="n">
        <v>191</v>
      </c>
      <c r="B192" s="7" t="str">
        <f aca="false">HYPERLINK("https://mncourtfraud.com/file/GES-14.zip","GES-14.zip")</f>
        <v>GES-14.zip</v>
      </c>
      <c r="C192" s="8" t="str">
        <f aca="false">HYPERLINK("https://mncourtfraud.com/file/27-CR-22-4087.pdf","27-CR-22-4087")</f>
        <v>27-CR-22-4087</v>
      </c>
      <c r="D192" s="3" t="s">
        <v>88</v>
      </c>
      <c r="E192" s="8" t="str">
        <f aca="false">HYPERLINK("https://mncourtfraud.com/file/MCRO_27-CR-22-4087_Order for Conditional Release_2022-10-04_20240429035314.pdf","MCRO_27-CR-22-4087_Order for Conditional Release_2022-10-04_20240429035314.pdf")</f>
        <v>MCRO_27-CR-22-4087_Order for Conditional Release_2022-10-04_20240429035314.pdf</v>
      </c>
      <c r="F192" s="9" t="n">
        <v>44838</v>
      </c>
      <c r="G192" s="1" t="s">
        <v>134</v>
      </c>
      <c r="H192" s="3" t="s">
        <v>135</v>
      </c>
      <c r="I192" s="3" t="s">
        <v>136</v>
      </c>
      <c r="K192" s="10"/>
      <c r="N192" s="10"/>
    </row>
    <row r="193" customFormat="false" ht="18.7" hidden="false" customHeight="true" outlineLevel="0" collapsed="false">
      <c r="A193" s="1" t="n">
        <v>192</v>
      </c>
      <c r="F193" s="9"/>
      <c r="K193" s="10"/>
      <c r="N193" s="10"/>
    </row>
    <row r="194" customFormat="false" ht="18.7" hidden="false" customHeight="true" outlineLevel="0" collapsed="false">
      <c r="A194" s="1" t="n">
        <v>193</v>
      </c>
      <c r="B194" s="7" t="str">
        <f aca="false">HYPERLINK("https://mncourtfraud.com/file/GES-15.zip","GES-15.zip")</f>
        <v>GES-15.zip</v>
      </c>
      <c r="C194" s="8" t="str">
        <f aca="false">HYPERLINK("https://mncourtfraud.com/file/27-CR-21-1980.pdf","27-CR-21-1980")</f>
        <v>27-CR-21-1980</v>
      </c>
      <c r="D194" s="3" t="s">
        <v>85</v>
      </c>
      <c r="E194" s="8" t="str">
        <f aca="false">HYPERLINK("https://mncourtfraud.com/file/MCRO_27-CR-21-1980_Order-Evaluation for Competency to Proceed (Rule 20.01)_2023-01-05_20240430080002.pdf","MCRO_27-CR-21-1980_Order-Evaluation for Competency to Proceed (Rule 20.01)_2023-01-05_20240430080002.pdf")</f>
        <v>MCRO_27-CR-21-1980_Order-Evaluation for Competency to Proceed (Rule 20.01)_2023-01-05_20240430080002.pdf</v>
      </c>
      <c r="F194" s="9" t="n">
        <v>44931</v>
      </c>
      <c r="G194" s="1" t="s">
        <v>137</v>
      </c>
      <c r="H194" s="3" t="s">
        <v>138</v>
      </c>
      <c r="I194" s="3" t="s">
        <v>139</v>
      </c>
      <c r="J194" s="3" t="s">
        <v>55</v>
      </c>
      <c r="K194" s="10" t="s">
        <v>140</v>
      </c>
      <c r="L194" s="3" t="s">
        <v>141</v>
      </c>
      <c r="N194" s="10"/>
    </row>
    <row r="195" customFormat="false" ht="18.7" hidden="false" customHeight="true" outlineLevel="0" collapsed="false">
      <c r="A195" s="1" t="n">
        <v>194</v>
      </c>
      <c r="B195" s="7" t="str">
        <f aca="false">HYPERLINK("https://mncourtfraud.com/file/GES-15.zip","GES-15.zip")</f>
        <v>GES-15.zip</v>
      </c>
      <c r="C195" s="8" t="str">
        <f aca="false">HYPERLINK("https://mncourtfraud.com/file/27-CR-21-20072.pdf","27-CR-21-20072")</f>
        <v>27-CR-21-20072</v>
      </c>
      <c r="D195" s="3" t="s">
        <v>85</v>
      </c>
      <c r="E195" s="8" t="str">
        <f aca="false">HYPERLINK("https://mncourtfraud.com/file/MCRO_27-CR-21-20072_Order-Evaluation for Competency to Proceed (Rule 20.01)_2023-01-05_20240430083053.pdf","MCRO_27-CR-21-20072_Order-Evaluation for Competency to Proceed (Rule 20.01)_2023-01-05_20240430083053.pdf")</f>
        <v>MCRO_27-CR-21-20072_Order-Evaluation for Competency to Proceed (Rule 20.01)_2023-01-05_20240430083053.pdf</v>
      </c>
      <c r="F195" s="9" t="n">
        <v>44931</v>
      </c>
      <c r="G195" s="1" t="s">
        <v>137</v>
      </c>
      <c r="H195" s="3" t="s">
        <v>138</v>
      </c>
      <c r="I195" s="3" t="s">
        <v>139</v>
      </c>
      <c r="J195" s="3" t="s">
        <v>55</v>
      </c>
      <c r="K195" s="10" t="s">
        <v>140</v>
      </c>
      <c r="L195" s="3" t="s">
        <v>141</v>
      </c>
      <c r="N195" s="10"/>
    </row>
    <row r="196" customFormat="false" ht="18.7" hidden="false" customHeight="true" outlineLevel="0" collapsed="false">
      <c r="A196" s="1" t="n">
        <v>195</v>
      </c>
      <c r="B196" s="7" t="str">
        <f aca="false">HYPERLINK("https://mncourtfraud.com/file/GES-15.zip","GES-15.zip")</f>
        <v>GES-15.zip</v>
      </c>
      <c r="C196" s="8" t="str">
        <f aca="false">HYPERLINK("https://mncourtfraud.com/file/27-CR-21-20988.pdf","27-CR-21-20988")</f>
        <v>27-CR-21-20988</v>
      </c>
      <c r="D196" s="3" t="s">
        <v>88</v>
      </c>
      <c r="E196" s="8" t="str">
        <f aca="false">HYPERLINK("https://mncourtfraud.com/file/MCRO_27-CR-21-20988_Order-Evaluation for Competency to Proceed (Rule 20.01)_2023-01-05_20240430083347.pdf","MCRO_27-CR-21-20988_Order-Evaluation for Competency to Proceed (Rule 20.01)_2023-01-05_20240430083347.pdf")</f>
        <v>MCRO_27-CR-21-20988_Order-Evaluation for Competency to Proceed (Rule 20.01)_2023-01-05_20240430083347.pdf</v>
      </c>
      <c r="F196" s="9" t="n">
        <v>44931</v>
      </c>
      <c r="G196" s="1" t="s">
        <v>137</v>
      </c>
      <c r="H196" s="3" t="s">
        <v>138</v>
      </c>
      <c r="I196" s="3" t="s">
        <v>139</v>
      </c>
      <c r="J196" s="3" t="s">
        <v>55</v>
      </c>
      <c r="K196" s="10" t="s">
        <v>140</v>
      </c>
      <c r="L196" s="3" t="s">
        <v>141</v>
      </c>
      <c r="N196" s="10"/>
    </row>
    <row r="197" customFormat="false" ht="18.7" hidden="false" customHeight="true" outlineLevel="0" collapsed="false">
      <c r="A197" s="1" t="n">
        <v>196</v>
      </c>
      <c r="B197" s="7" t="str">
        <f aca="false">HYPERLINK("https://mncourtfraud.com/file/GES-15.zip","GES-15.zip")</f>
        <v>GES-15.zip</v>
      </c>
      <c r="C197" s="8" t="str">
        <f aca="false">HYPERLINK("https://mncourtfraud.com/file/27-CR-21-21355.pdf","27-CR-21-21355")</f>
        <v>27-CR-21-21355</v>
      </c>
      <c r="D197" s="3" t="s">
        <v>88</v>
      </c>
      <c r="E197" s="8" t="str">
        <f aca="false">HYPERLINK("https://mncourtfraud.com/file/MCRO_27-CR-21-21355_Order-Evaluation for Competency to Proceed (Rule 20.01)_2023-01-05_20240430083455.pdf","MCRO_27-CR-21-21355_Order-Evaluation for Competency to Proceed (Rule 20.01)_2023-01-05_20240430083455.pdf")</f>
        <v>MCRO_27-CR-21-21355_Order-Evaluation for Competency to Proceed (Rule 20.01)_2023-01-05_20240430083455.pdf</v>
      </c>
      <c r="F197" s="9" t="n">
        <v>44931</v>
      </c>
      <c r="G197" s="1" t="s">
        <v>137</v>
      </c>
      <c r="H197" s="3" t="s">
        <v>138</v>
      </c>
      <c r="I197" s="3" t="s">
        <v>139</v>
      </c>
      <c r="J197" s="3" t="s">
        <v>55</v>
      </c>
      <c r="K197" s="10" t="s">
        <v>140</v>
      </c>
      <c r="L197" s="3" t="s">
        <v>141</v>
      </c>
      <c r="N197" s="10"/>
    </row>
    <row r="198" customFormat="false" ht="18.7" hidden="false" customHeight="true" outlineLevel="0" collapsed="false">
      <c r="A198" s="1" t="n">
        <v>197</v>
      </c>
      <c r="B198" s="7" t="str">
        <f aca="false">HYPERLINK("https://mncourtfraud.com/file/GES-15.zip","GES-15.zip")</f>
        <v>GES-15.zip</v>
      </c>
      <c r="C198" s="8" t="str">
        <f aca="false">HYPERLINK("https://mncourtfraud.com/file/27-CR-21-23188.pdf","27-CR-21-23188")</f>
        <v>27-CR-21-23188</v>
      </c>
      <c r="D198" s="3" t="s">
        <v>88</v>
      </c>
      <c r="E198" s="8" t="str">
        <f aca="false">HYPERLINK("https://mncourtfraud.com/file/MCRO_27-CR-21-23188_Order-Evaluation for Competency to Proceed (Rule 20.01)_2023-01-05_20240430083744.pdf","MCRO_27-CR-21-23188_Order-Evaluation for Competency to Proceed (Rule 20.01)_2023-01-05_20240430083744.pdf")</f>
        <v>MCRO_27-CR-21-23188_Order-Evaluation for Competency to Proceed (Rule 20.01)_2023-01-05_20240430083744.pdf</v>
      </c>
      <c r="F198" s="9" t="n">
        <v>44931</v>
      </c>
      <c r="G198" s="1" t="s">
        <v>137</v>
      </c>
      <c r="H198" s="3" t="s">
        <v>138</v>
      </c>
      <c r="I198" s="3" t="s">
        <v>139</v>
      </c>
      <c r="J198" s="3" t="s">
        <v>55</v>
      </c>
      <c r="K198" s="10" t="s">
        <v>140</v>
      </c>
      <c r="L198" s="3" t="s">
        <v>141</v>
      </c>
      <c r="N198" s="10"/>
    </row>
    <row r="199" customFormat="false" ht="18.7" hidden="false" customHeight="true" outlineLevel="0" collapsed="false">
      <c r="A199" s="1" t="n">
        <v>198</v>
      </c>
      <c r="B199" s="7" t="str">
        <f aca="false">HYPERLINK("https://mncourtfraud.com/file/GES-15.zip","GES-15.zip")</f>
        <v>GES-15.zip</v>
      </c>
      <c r="C199" s="8" t="str">
        <f aca="false">HYPERLINK("https://mncourtfraud.com/file/27-CR-21-23215.pdf","27-CR-21-23215")</f>
        <v>27-CR-21-23215</v>
      </c>
      <c r="D199" s="3" t="s">
        <v>88</v>
      </c>
      <c r="E199" s="8" t="str">
        <f aca="false">HYPERLINK("https://mncourtfraud.com/file/MCRO_27-CR-21-23215_Order-Evaluation for Competency to Proceed (Rule 20.01)_2023-01-05_20240430084127.pdf","MCRO_27-CR-21-23215_Order-Evaluation for Competency to Proceed (Rule 20.01)_2023-01-05_20240430084127.pdf")</f>
        <v>MCRO_27-CR-21-23215_Order-Evaluation for Competency to Proceed (Rule 20.01)_2023-01-05_20240430084127.pdf</v>
      </c>
      <c r="F199" s="9" t="n">
        <v>44931</v>
      </c>
      <c r="G199" s="1" t="s">
        <v>137</v>
      </c>
      <c r="H199" s="3" t="s">
        <v>138</v>
      </c>
      <c r="I199" s="3" t="s">
        <v>139</v>
      </c>
      <c r="J199" s="3" t="s">
        <v>55</v>
      </c>
      <c r="K199" s="10" t="s">
        <v>140</v>
      </c>
      <c r="L199" s="3" t="s">
        <v>141</v>
      </c>
      <c r="N199" s="10"/>
    </row>
    <row r="200" customFormat="false" ht="18.7" hidden="false" customHeight="true" outlineLevel="0" collapsed="false">
      <c r="A200" s="1" t="n">
        <v>199</v>
      </c>
      <c r="B200" s="7" t="str">
        <f aca="false">HYPERLINK("https://mncourtfraud.com/file/GES-15.zip","GES-15.zip")</f>
        <v>GES-15.zip</v>
      </c>
      <c r="C200" s="8" t="str">
        <f aca="false">HYPERLINK("https://mncourtfraud.com/file/27-CR-22-4087.pdf","27-CR-22-4087")</f>
        <v>27-CR-22-4087</v>
      </c>
      <c r="D200" s="3" t="s">
        <v>88</v>
      </c>
      <c r="E200" s="8" t="str">
        <f aca="false">HYPERLINK("https://mncourtfraud.com/file/MCRO_27-CR-22-4087_Order-Evaluation for Competency to Proceed (Rule 20.01)_2023-01-05_20240429035312.pdf","MCRO_27-CR-22-4087_Order-Evaluation for Competency to Proceed (Rule 20.01)_2023-01-05_20240429035312.pdf")</f>
        <v>MCRO_27-CR-22-4087_Order-Evaluation for Competency to Proceed (Rule 20.01)_2023-01-05_20240429035312.pdf</v>
      </c>
      <c r="F200" s="9" t="n">
        <v>44931</v>
      </c>
      <c r="G200" s="1" t="s">
        <v>137</v>
      </c>
      <c r="H200" s="3" t="s">
        <v>138</v>
      </c>
      <c r="I200" s="3" t="s">
        <v>139</v>
      </c>
      <c r="J200" s="3" t="s">
        <v>55</v>
      </c>
      <c r="K200" s="10" t="s">
        <v>140</v>
      </c>
      <c r="L200" s="3" t="s">
        <v>141</v>
      </c>
      <c r="N200" s="10"/>
    </row>
    <row r="201" customFormat="false" ht="18.7" hidden="false" customHeight="true" outlineLevel="0" collapsed="false">
      <c r="A201" s="1" t="n">
        <v>200</v>
      </c>
      <c r="F201" s="9"/>
      <c r="K201" s="10"/>
      <c r="N201" s="10"/>
    </row>
    <row r="202" customFormat="false" ht="18.7" hidden="false" customHeight="true" outlineLevel="0" collapsed="false">
      <c r="A202" s="1" t="n">
        <v>201</v>
      </c>
      <c r="B202" s="7" t="str">
        <f aca="false">HYPERLINK("https://mncourtfraud.com/file/GES-16.zip","GES-16.zip")</f>
        <v>GES-16.zip</v>
      </c>
      <c r="C202" s="8" t="str">
        <f aca="false">HYPERLINK("https://mncourtfraud.com/file/27-CR-21-1980.pdf","27-CR-21-1980")</f>
        <v>27-CR-21-1980</v>
      </c>
      <c r="D202" s="3" t="s">
        <v>85</v>
      </c>
      <c r="E202" s="8" t="str">
        <f aca="false">HYPERLINK("https://mncourtfraud.com/file/MCRO_27-CR-21-1980_Finding of Incompetency and Order_2023-06-01_20240430075958.pdf","MCRO_27-CR-21-1980_Finding of Incompetency and Order_2023-06-01_20240430075958.pdf")</f>
        <v>MCRO_27-CR-21-1980_Finding of Incompetency and Order_2023-06-01_20240430075958.pdf</v>
      </c>
      <c r="F202" s="9" t="n">
        <v>45078</v>
      </c>
      <c r="G202" s="1" t="s">
        <v>142</v>
      </c>
      <c r="H202" s="3" t="s">
        <v>143</v>
      </c>
      <c r="I202" s="3" t="s">
        <v>144</v>
      </c>
      <c r="J202" s="3" t="s">
        <v>145</v>
      </c>
      <c r="K202" s="10" t="s">
        <v>146</v>
      </c>
      <c r="L202" s="3" t="s">
        <v>147</v>
      </c>
      <c r="M202" s="3" t="s">
        <v>64</v>
      </c>
      <c r="N202" s="10" t="s">
        <v>148</v>
      </c>
      <c r="O202" s="3" t="s">
        <v>149</v>
      </c>
    </row>
    <row r="203" customFormat="false" ht="18.7" hidden="false" customHeight="true" outlineLevel="0" collapsed="false">
      <c r="A203" s="1" t="n">
        <v>202</v>
      </c>
      <c r="B203" s="7" t="str">
        <f aca="false">HYPERLINK("https://mncourtfraud.com/file/GES-16.zip","GES-16.zip")</f>
        <v>GES-16.zip</v>
      </c>
      <c r="C203" s="8" t="str">
        <f aca="false">HYPERLINK("https://mncourtfraud.com/file/27-CR-21-20072.pdf","27-CR-21-20072")</f>
        <v>27-CR-21-20072</v>
      </c>
      <c r="D203" s="3" t="s">
        <v>85</v>
      </c>
      <c r="E203" s="8" t="str">
        <f aca="false">HYPERLINK("https://mncourtfraud.com/file/MCRO_27-CR-21-20072_Finding of Incompetency and Order_2023-06-01_20240430083050.pdf","MCRO_27-CR-21-20072_Finding of Incompetency and Order_2023-06-01_20240430083050.pdf")</f>
        <v>MCRO_27-CR-21-20072_Finding of Incompetency and Order_2023-06-01_20240430083050.pdf</v>
      </c>
      <c r="F203" s="9" t="n">
        <v>45078</v>
      </c>
      <c r="G203" s="1" t="s">
        <v>142</v>
      </c>
      <c r="H203" s="3" t="s">
        <v>143</v>
      </c>
      <c r="I203" s="3" t="s">
        <v>144</v>
      </c>
      <c r="J203" s="3" t="s">
        <v>145</v>
      </c>
      <c r="K203" s="10" t="s">
        <v>146</v>
      </c>
      <c r="L203" s="3" t="s">
        <v>147</v>
      </c>
      <c r="M203" s="3" t="s">
        <v>64</v>
      </c>
      <c r="N203" s="10" t="s">
        <v>148</v>
      </c>
      <c r="O203" s="3" t="s">
        <v>149</v>
      </c>
    </row>
    <row r="204" customFormat="false" ht="18.7" hidden="false" customHeight="true" outlineLevel="0" collapsed="false">
      <c r="A204" s="1" t="n">
        <v>203</v>
      </c>
      <c r="B204" s="7" t="str">
        <f aca="false">HYPERLINK("https://mncourtfraud.com/file/GES-16.zip","GES-16.zip")</f>
        <v>GES-16.zip</v>
      </c>
      <c r="C204" s="8" t="str">
        <f aca="false">HYPERLINK("https://mncourtfraud.com/file/27-CR-21-20988.pdf","27-CR-21-20988")</f>
        <v>27-CR-21-20988</v>
      </c>
      <c r="D204" s="3" t="s">
        <v>88</v>
      </c>
      <c r="E204" s="8" t="str">
        <f aca="false">HYPERLINK("https://mncourtfraud.com/file/MCRO_27-CR-21-20988_Finding of Incompetency and Order_2023-06-01_20240430083344.pdf","MCRO_27-CR-21-20988_Finding of Incompetency and Order_2023-06-01_20240430083344.pdf")</f>
        <v>MCRO_27-CR-21-20988_Finding of Incompetency and Order_2023-06-01_20240430083344.pdf</v>
      </c>
      <c r="F204" s="9" t="n">
        <v>45078</v>
      </c>
      <c r="G204" s="1" t="s">
        <v>142</v>
      </c>
      <c r="H204" s="3" t="s">
        <v>143</v>
      </c>
      <c r="I204" s="3" t="s">
        <v>144</v>
      </c>
      <c r="J204" s="3" t="s">
        <v>145</v>
      </c>
      <c r="K204" s="10" t="s">
        <v>146</v>
      </c>
      <c r="L204" s="3" t="s">
        <v>147</v>
      </c>
      <c r="M204" s="3" t="s">
        <v>64</v>
      </c>
      <c r="N204" s="10" t="s">
        <v>148</v>
      </c>
      <c r="O204" s="3" t="s">
        <v>149</v>
      </c>
    </row>
    <row r="205" customFormat="false" ht="18.7" hidden="false" customHeight="true" outlineLevel="0" collapsed="false">
      <c r="A205" s="1" t="n">
        <v>204</v>
      </c>
      <c r="B205" s="7" t="str">
        <f aca="false">HYPERLINK("https://mncourtfraud.com/file/GES-16.zip","GES-16.zip")</f>
        <v>GES-16.zip</v>
      </c>
      <c r="C205" s="8" t="str">
        <f aca="false">HYPERLINK("https://mncourtfraud.com/file/27-CR-21-21355.pdf","27-CR-21-21355")</f>
        <v>27-CR-21-21355</v>
      </c>
      <c r="D205" s="3" t="s">
        <v>88</v>
      </c>
      <c r="E205" s="8" t="str">
        <f aca="false">HYPERLINK("https://mncourtfraud.com/file/MCRO_27-CR-21-21355_Finding of Incompetency and Order_2023-06-01_20240430083452.pdf","MCRO_27-CR-21-21355_Finding of Incompetency and Order_2023-06-01_20240430083452.pdf")</f>
        <v>MCRO_27-CR-21-21355_Finding of Incompetency and Order_2023-06-01_20240430083452.pdf</v>
      </c>
      <c r="F205" s="9" t="n">
        <v>45078</v>
      </c>
      <c r="G205" s="1" t="s">
        <v>142</v>
      </c>
      <c r="H205" s="3" t="s">
        <v>143</v>
      </c>
      <c r="I205" s="3" t="s">
        <v>144</v>
      </c>
      <c r="J205" s="3" t="s">
        <v>145</v>
      </c>
      <c r="K205" s="10" t="s">
        <v>146</v>
      </c>
      <c r="L205" s="3" t="s">
        <v>147</v>
      </c>
      <c r="M205" s="3" t="s">
        <v>64</v>
      </c>
      <c r="N205" s="10" t="s">
        <v>148</v>
      </c>
      <c r="O205" s="3" t="s">
        <v>149</v>
      </c>
    </row>
    <row r="206" customFormat="false" ht="18.7" hidden="false" customHeight="true" outlineLevel="0" collapsed="false">
      <c r="A206" s="1" t="n">
        <v>205</v>
      </c>
      <c r="B206" s="7" t="str">
        <f aca="false">HYPERLINK("https://mncourtfraud.com/file/GES-16.zip","GES-16.zip")</f>
        <v>GES-16.zip</v>
      </c>
      <c r="C206" s="8" t="str">
        <f aca="false">HYPERLINK("https://mncourtfraud.com/file/27-CR-21-23188.pdf","27-CR-21-23188")</f>
        <v>27-CR-21-23188</v>
      </c>
      <c r="D206" s="3" t="s">
        <v>88</v>
      </c>
      <c r="E206" s="8" t="str">
        <f aca="false">HYPERLINK("https://mncourtfraud.com/file/MCRO_27-CR-21-23188_Finding of Incompetency and Order_2023-06-01_20240430083741.pdf","MCRO_27-CR-21-23188_Finding of Incompetency and Order_2023-06-01_20240430083741.pdf")</f>
        <v>MCRO_27-CR-21-23188_Finding of Incompetency and Order_2023-06-01_20240430083741.pdf</v>
      </c>
      <c r="F206" s="9" t="n">
        <v>45078</v>
      </c>
      <c r="G206" s="1" t="s">
        <v>142</v>
      </c>
      <c r="H206" s="3" t="s">
        <v>143</v>
      </c>
      <c r="I206" s="3" t="s">
        <v>144</v>
      </c>
      <c r="J206" s="3" t="s">
        <v>145</v>
      </c>
      <c r="K206" s="10" t="s">
        <v>146</v>
      </c>
      <c r="L206" s="3" t="s">
        <v>147</v>
      </c>
      <c r="M206" s="3" t="s">
        <v>64</v>
      </c>
      <c r="N206" s="10" t="s">
        <v>148</v>
      </c>
      <c r="O206" s="3" t="s">
        <v>149</v>
      </c>
    </row>
    <row r="207" customFormat="false" ht="18.7" hidden="false" customHeight="true" outlineLevel="0" collapsed="false">
      <c r="A207" s="1" t="n">
        <v>206</v>
      </c>
      <c r="B207" s="7" t="str">
        <f aca="false">HYPERLINK("https://mncourtfraud.com/file/GES-16.zip","GES-16.zip")</f>
        <v>GES-16.zip</v>
      </c>
      <c r="C207" s="8" t="str">
        <f aca="false">HYPERLINK("https://mncourtfraud.com/file/27-CR-22-22963.pdf","27-CR-22-22963")</f>
        <v>27-CR-22-22963</v>
      </c>
      <c r="D207" s="3" t="s">
        <v>88</v>
      </c>
      <c r="E207" s="8" t="str">
        <f aca="false">HYPERLINK("https://mncourtfraud.com/file/MCRO_27-CR-22-22963_Finding of Incompetency and Order_2023-06-01_20240429163939.pdf","MCRO_27-CR-22-22963_Finding of Incompetency and Order_2023-06-01_20240429163939.pdf")</f>
        <v>MCRO_27-CR-22-22963_Finding of Incompetency and Order_2023-06-01_20240429163939.pdf</v>
      </c>
      <c r="F207" s="9" t="n">
        <v>45078</v>
      </c>
      <c r="G207" s="1" t="s">
        <v>142</v>
      </c>
      <c r="H207" s="3" t="s">
        <v>143</v>
      </c>
      <c r="I207" s="3" t="s">
        <v>144</v>
      </c>
      <c r="J207" s="3" t="s">
        <v>145</v>
      </c>
      <c r="K207" s="10" t="s">
        <v>146</v>
      </c>
      <c r="L207" s="3" t="s">
        <v>147</v>
      </c>
      <c r="M207" s="3" t="s">
        <v>64</v>
      </c>
      <c r="N207" s="10" t="s">
        <v>148</v>
      </c>
      <c r="O207" s="3" t="s">
        <v>149</v>
      </c>
    </row>
    <row r="208" customFormat="false" ht="18.7" hidden="false" customHeight="true" outlineLevel="0" collapsed="false">
      <c r="A208" s="1" t="n">
        <v>207</v>
      </c>
      <c r="B208" s="7" t="str">
        <f aca="false">HYPERLINK("https://mncourtfraud.com/file/GES-16.zip","GES-16.zip")</f>
        <v>GES-16.zip</v>
      </c>
      <c r="C208" s="8" t="str">
        <f aca="false">HYPERLINK("https://mncourtfraud.com/file/27-CR-22-4087.pdf","27-CR-22-4087")</f>
        <v>27-CR-22-4087</v>
      </c>
      <c r="D208" s="3" t="s">
        <v>88</v>
      </c>
      <c r="E208" s="8" t="str">
        <f aca="false">HYPERLINK("https://mncourtfraud.com/file/MCRO_27-CR-22-4087_Finding of Incompetency and Order_2023-06-01_20240429035306.pdf","MCRO_27-CR-22-4087_Finding of Incompetency and Order_2023-06-01_20240429035306.pdf")</f>
        <v>MCRO_27-CR-22-4087_Finding of Incompetency and Order_2023-06-01_20240429035306.pdf</v>
      </c>
      <c r="F208" s="9" t="n">
        <v>45078</v>
      </c>
      <c r="G208" s="1" t="s">
        <v>142</v>
      </c>
      <c r="H208" s="3" t="s">
        <v>143</v>
      </c>
      <c r="I208" s="3" t="s">
        <v>144</v>
      </c>
      <c r="J208" s="3" t="s">
        <v>145</v>
      </c>
      <c r="K208" s="10" t="s">
        <v>146</v>
      </c>
      <c r="L208" s="3" t="s">
        <v>147</v>
      </c>
      <c r="M208" s="3" t="s">
        <v>64</v>
      </c>
      <c r="N208" s="10" t="s">
        <v>148</v>
      </c>
      <c r="O208" s="3" t="s">
        <v>149</v>
      </c>
    </row>
    <row r="209" customFormat="false" ht="18.7" hidden="false" customHeight="true" outlineLevel="0" collapsed="false">
      <c r="A209" s="1" t="n">
        <v>208</v>
      </c>
      <c r="F209" s="9"/>
      <c r="K209" s="10"/>
      <c r="N209" s="10"/>
    </row>
    <row r="210" customFormat="false" ht="18.7" hidden="false" customHeight="true" outlineLevel="0" collapsed="false">
      <c r="A210" s="1" t="n">
        <v>209</v>
      </c>
      <c r="B210" s="7" t="str">
        <f aca="false">HYPERLINK("https://mncourtfraud.com/file/GES-17.zip","GES-17.zip")</f>
        <v>GES-17.zip</v>
      </c>
      <c r="C210" s="8" t="str">
        <f aca="false">HYPERLINK("https://mncourtfraud.com/file/27-CR-21-1980.pdf","27-CR-21-1980")</f>
        <v>27-CR-21-1980</v>
      </c>
      <c r="D210" s="3" t="s">
        <v>85</v>
      </c>
      <c r="E210" s="8" t="str">
        <f aca="false">HYPERLINK("https://mncourtfraud.com/file/MCRO_27-CR-21-1980_Order-Evaluation for Competency to Proceed (Rule 20.01)_2023-09-18_20240430075956.pdf","MCRO_27-CR-21-1980_Order-Evaluation for Competency to Proceed (Rule 20.01)_2023-09-18_20240430075956.pdf")</f>
        <v>MCRO_27-CR-21-1980_Order-Evaluation for Competency to Proceed (Rule 20.01)_2023-09-18_20240430075956.pdf</v>
      </c>
      <c r="F210" s="9" t="n">
        <v>45187</v>
      </c>
      <c r="G210" s="1" t="s">
        <v>150</v>
      </c>
      <c r="H210" s="3" t="s">
        <v>151</v>
      </c>
      <c r="I210" s="3" t="s">
        <v>152</v>
      </c>
      <c r="J210" s="3" t="s">
        <v>64</v>
      </c>
      <c r="K210" s="10" t="s">
        <v>153</v>
      </c>
      <c r="L210" s="3" t="s">
        <v>154</v>
      </c>
      <c r="N210" s="10"/>
    </row>
    <row r="211" customFormat="false" ht="18.7" hidden="false" customHeight="true" outlineLevel="0" collapsed="false">
      <c r="A211" s="1" t="n">
        <v>210</v>
      </c>
      <c r="B211" s="7" t="str">
        <f aca="false">HYPERLINK("https://mncourtfraud.com/file/GES-17.zip","GES-17.zip")</f>
        <v>GES-17.zip</v>
      </c>
      <c r="C211" s="8" t="str">
        <f aca="false">HYPERLINK("https://mncourtfraud.com/file/27-CR-21-20072.pdf","27-CR-21-20072")</f>
        <v>27-CR-21-20072</v>
      </c>
      <c r="D211" s="3" t="s">
        <v>85</v>
      </c>
      <c r="E211" s="8" t="str">
        <f aca="false">HYPERLINK("https://mncourtfraud.com/file/MCRO_27-CR-21-20072_Order-Evaluation for Competency to Proceed (Rule 20.01)_2023-09-18_20240430083048.pdf","MCRO_27-CR-21-20072_Order-Evaluation for Competency to Proceed (Rule 20.01)_2023-09-18_20240430083048.pdf")</f>
        <v>MCRO_27-CR-21-20072_Order-Evaluation for Competency to Proceed (Rule 20.01)_2023-09-18_20240430083048.pdf</v>
      </c>
      <c r="F211" s="9" t="n">
        <v>45187</v>
      </c>
      <c r="G211" s="1" t="s">
        <v>150</v>
      </c>
      <c r="H211" s="3" t="s">
        <v>151</v>
      </c>
      <c r="I211" s="3" t="s">
        <v>152</v>
      </c>
      <c r="J211" s="3" t="s">
        <v>64</v>
      </c>
      <c r="K211" s="10" t="s">
        <v>153</v>
      </c>
      <c r="L211" s="3" t="s">
        <v>154</v>
      </c>
      <c r="N211" s="10"/>
    </row>
    <row r="212" customFormat="false" ht="18.7" hidden="false" customHeight="true" outlineLevel="0" collapsed="false">
      <c r="A212" s="1" t="n">
        <v>211</v>
      </c>
      <c r="B212" s="7" t="str">
        <f aca="false">HYPERLINK("https://mncourtfraud.com/file/GES-17.zip","GES-17.zip")</f>
        <v>GES-17.zip</v>
      </c>
      <c r="C212" s="8" t="str">
        <f aca="false">HYPERLINK("https://mncourtfraud.com/file/27-CR-21-20988.pdf","27-CR-21-20988")</f>
        <v>27-CR-21-20988</v>
      </c>
      <c r="D212" s="3" t="s">
        <v>88</v>
      </c>
      <c r="E212" s="8" t="str">
        <f aca="false">HYPERLINK("https://mncourtfraud.com/file/MCRO_27-CR-21-20988_Order-Evaluation for Competency to Proceed (Rule 20.01)_2023-09-18_20240430083342.pdf","MCRO_27-CR-21-20988_Order-Evaluation for Competency to Proceed (Rule 20.01)_2023-09-18_20240430083342.pdf")</f>
        <v>MCRO_27-CR-21-20988_Order-Evaluation for Competency to Proceed (Rule 20.01)_2023-09-18_20240430083342.pdf</v>
      </c>
      <c r="F212" s="9" t="n">
        <v>45187</v>
      </c>
      <c r="G212" s="1" t="s">
        <v>150</v>
      </c>
      <c r="H212" s="3" t="s">
        <v>151</v>
      </c>
      <c r="I212" s="3" t="s">
        <v>152</v>
      </c>
      <c r="J212" s="3" t="s">
        <v>64</v>
      </c>
      <c r="K212" s="10" t="s">
        <v>153</v>
      </c>
      <c r="L212" s="3" t="s">
        <v>154</v>
      </c>
      <c r="N212" s="10"/>
    </row>
    <row r="213" customFormat="false" ht="18.7" hidden="false" customHeight="true" outlineLevel="0" collapsed="false">
      <c r="A213" s="1" t="n">
        <v>212</v>
      </c>
      <c r="B213" s="7" t="str">
        <f aca="false">HYPERLINK("https://mncourtfraud.com/file/GES-17.zip","GES-17.zip")</f>
        <v>GES-17.zip</v>
      </c>
      <c r="C213" s="8" t="str">
        <f aca="false">HYPERLINK("https://mncourtfraud.com/file/27-CR-21-21355.pdf","27-CR-21-21355")</f>
        <v>27-CR-21-21355</v>
      </c>
      <c r="D213" s="3" t="s">
        <v>88</v>
      </c>
      <c r="E213" s="8" t="str">
        <f aca="false">HYPERLINK("https://mncourtfraud.com/file/MCRO_27-CR-21-21355_Order-Evaluation for Competency to Proceed (Rule 20.01)_2023-09-18_20240430083448.pdf","MCRO_27-CR-21-21355_Order-Evaluation for Competency to Proceed (Rule 20.01)_2023-09-18_20240430083448.pdf")</f>
        <v>MCRO_27-CR-21-21355_Order-Evaluation for Competency to Proceed (Rule 20.01)_2023-09-18_20240430083448.pdf</v>
      </c>
      <c r="F213" s="9" t="n">
        <v>45187</v>
      </c>
      <c r="G213" s="1" t="s">
        <v>150</v>
      </c>
      <c r="H213" s="3" t="s">
        <v>151</v>
      </c>
      <c r="I213" s="3" t="s">
        <v>152</v>
      </c>
      <c r="J213" s="3" t="s">
        <v>64</v>
      </c>
      <c r="K213" s="10" t="s">
        <v>153</v>
      </c>
      <c r="L213" s="3" t="s">
        <v>154</v>
      </c>
      <c r="N213" s="10"/>
    </row>
    <row r="214" customFormat="false" ht="18.7" hidden="false" customHeight="true" outlineLevel="0" collapsed="false">
      <c r="A214" s="1" t="n">
        <v>213</v>
      </c>
      <c r="B214" s="7" t="str">
        <f aca="false">HYPERLINK("https://mncourtfraud.com/file/GES-17.zip","GES-17.zip")</f>
        <v>GES-17.zip</v>
      </c>
      <c r="C214" s="8" t="str">
        <f aca="false">HYPERLINK("https://mncourtfraud.com/file/27-CR-21-23188.pdf","27-CR-21-23188")</f>
        <v>27-CR-21-23188</v>
      </c>
      <c r="D214" s="3" t="s">
        <v>88</v>
      </c>
      <c r="E214" s="8" t="str">
        <f aca="false">HYPERLINK("https://mncourtfraud.com/file/MCRO_27-CR-21-23188_Order-Evaluation for Competency to Proceed (Rule 20.01)_2023-09-18_20240430083739.pdf","MCRO_27-CR-21-23188_Order-Evaluation for Competency to Proceed (Rule 20.01)_2023-09-18_20240430083739.pdf")</f>
        <v>MCRO_27-CR-21-23188_Order-Evaluation for Competency to Proceed (Rule 20.01)_2023-09-18_20240430083739.pdf</v>
      </c>
      <c r="F214" s="9" t="n">
        <v>45187</v>
      </c>
      <c r="G214" s="1" t="s">
        <v>150</v>
      </c>
      <c r="H214" s="3" t="s">
        <v>151</v>
      </c>
      <c r="I214" s="3" t="s">
        <v>152</v>
      </c>
      <c r="J214" s="3" t="s">
        <v>64</v>
      </c>
      <c r="K214" s="10" t="s">
        <v>153</v>
      </c>
      <c r="L214" s="3" t="s">
        <v>154</v>
      </c>
      <c r="N214" s="10"/>
    </row>
    <row r="215" customFormat="false" ht="18.7" hidden="false" customHeight="true" outlineLevel="0" collapsed="false">
      <c r="A215" s="1" t="n">
        <v>214</v>
      </c>
      <c r="B215" s="7" t="str">
        <f aca="false">HYPERLINK("https://mncourtfraud.com/file/GES-17.zip","GES-17.zip")</f>
        <v>GES-17.zip</v>
      </c>
      <c r="C215" s="8" t="str">
        <f aca="false">HYPERLINK("https://mncourtfraud.com/file/27-CR-21-23215.pdf","27-CR-21-23215")</f>
        <v>27-CR-21-23215</v>
      </c>
      <c r="D215" s="3" t="s">
        <v>88</v>
      </c>
      <c r="E215" s="8" t="str">
        <f aca="false">HYPERLINK("https://mncourtfraud.com/file/MCRO_27-CR-21-23215_Order-Evaluation for Competency to Proceed (Rule 20.01)_2023-09-18_20240430084123.pdf","MCRO_27-CR-21-23215_Order-Evaluation for Competency to Proceed (Rule 20.01)_2023-09-18_20240430084123.pdf")</f>
        <v>MCRO_27-CR-21-23215_Order-Evaluation for Competency to Proceed (Rule 20.01)_2023-09-18_20240430084123.pdf</v>
      </c>
      <c r="F215" s="9" t="n">
        <v>45187</v>
      </c>
      <c r="G215" s="1" t="s">
        <v>150</v>
      </c>
      <c r="H215" s="3" t="s">
        <v>151</v>
      </c>
      <c r="I215" s="3" t="s">
        <v>152</v>
      </c>
      <c r="J215" s="3" t="s">
        <v>64</v>
      </c>
      <c r="K215" s="10" t="s">
        <v>153</v>
      </c>
      <c r="L215" s="3" t="s">
        <v>154</v>
      </c>
      <c r="N215" s="10"/>
    </row>
    <row r="216" customFormat="false" ht="18.7" hidden="false" customHeight="true" outlineLevel="0" collapsed="false">
      <c r="A216" s="1" t="n">
        <v>215</v>
      </c>
      <c r="B216" s="7" t="str">
        <f aca="false">HYPERLINK("https://mncourtfraud.com/file/GES-17.zip","GES-17.zip")</f>
        <v>GES-17.zip</v>
      </c>
      <c r="C216" s="8" t="str">
        <f aca="false">HYPERLINK("https://mncourtfraud.com/file/27-CR-22-22963.pdf","27-CR-22-22963")</f>
        <v>27-CR-22-22963</v>
      </c>
      <c r="D216" s="3" t="s">
        <v>88</v>
      </c>
      <c r="E216" s="8" t="str">
        <f aca="false">HYPERLINK("https://mncourtfraud.com/file/MCRO_27-CR-22-22963_Order-Evaluation for Competency to Proceed (Rule 20.01)_2023-09-18_20240429163938.pdf","MCRO_27-CR-22-22963_Order-Evaluation for Competency to Proceed (Rule 20.01)_2023-09-18_20240429163938.pdf")</f>
        <v>MCRO_27-CR-22-22963_Order-Evaluation for Competency to Proceed (Rule 20.01)_2023-09-18_20240429163938.pdf</v>
      </c>
      <c r="F216" s="9" t="n">
        <v>45187</v>
      </c>
      <c r="G216" s="1" t="s">
        <v>150</v>
      </c>
      <c r="H216" s="3" t="s">
        <v>151</v>
      </c>
      <c r="I216" s="3" t="s">
        <v>152</v>
      </c>
      <c r="J216" s="3" t="s">
        <v>64</v>
      </c>
      <c r="K216" s="10" t="s">
        <v>153</v>
      </c>
      <c r="L216" s="3" t="s">
        <v>154</v>
      </c>
      <c r="N216" s="10"/>
    </row>
    <row r="217" customFormat="false" ht="18.7" hidden="false" customHeight="true" outlineLevel="0" collapsed="false">
      <c r="A217" s="1" t="n">
        <v>216</v>
      </c>
      <c r="B217" s="7" t="str">
        <f aca="false">HYPERLINK("https://mncourtfraud.com/file/GES-17.zip","GES-17.zip")</f>
        <v>GES-17.zip</v>
      </c>
      <c r="C217" s="8" t="str">
        <f aca="false">HYPERLINK("https://mncourtfraud.com/file/27-CR-22-4087.pdf","27-CR-22-4087")</f>
        <v>27-CR-22-4087</v>
      </c>
      <c r="D217" s="3" t="s">
        <v>88</v>
      </c>
      <c r="E217" s="8" t="str">
        <f aca="false">HYPERLINK("https://mncourtfraud.com/file/MCRO_27-CR-22-4087_Order-Evaluation for Competency to Proceed (Rule 20.01)_2023-09-18_20240429035302.pdf","MCRO_27-CR-22-4087_Order-Evaluation for Competency to Proceed (Rule 20.01)_2023-09-18_20240429035302.pdf")</f>
        <v>MCRO_27-CR-22-4087_Order-Evaluation for Competency to Proceed (Rule 20.01)_2023-09-18_20240429035302.pdf</v>
      </c>
      <c r="F217" s="9" t="n">
        <v>45187</v>
      </c>
      <c r="G217" s="1" t="s">
        <v>150</v>
      </c>
      <c r="H217" s="3" t="s">
        <v>151</v>
      </c>
      <c r="I217" s="3" t="s">
        <v>152</v>
      </c>
      <c r="J217" s="3" t="s">
        <v>64</v>
      </c>
      <c r="K217" s="10" t="s">
        <v>153</v>
      </c>
      <c r="L217" s="3" t="s">
        <v>154</v>
      </c>
      <c r="N217" s="10"/>
    </row>
    <row r="218" customFormat="false" ht="18.7" hidden="false" customHeight="true" outlineLevel="0" collapsed="false">
      <c r="A218" s="1" t="n">
        <v>217</v>
      </c>
      <c r="B218" s="7" t="str">
        <f aca="false">HYPERLINK("https://mncourtfraud.com/file/GES-17.zip","GES-17.zip")</f>
        <v>GES-17.zip</v>
      </c>
      <c r="C218" s="8" t="str">
        <f aca="false">HYPERLINK("https://mncourtfraud.com/file/27-CR-23-16927.pdf","27-CR-23-16927")</f>
        <v>27-CR-23-16927</v>
      </c>
      <c r="D218" s="3" t="s">
        <v>88</v>
      </c>
      <c r="E218" s="8" t="str">
        <f aca="false">HYPERLINK("https://mncourtfraud.com/file/MCRO_27-CR-23-16927_Order-Evaluation for Competency to Proceed (Rule 20.01)_2023-09-18_20240430074534.pdf","MCRO_27-CR-23-16927_Order-Evaluation for Competency to Proceed (Rule 20.01)_2023-09-18_20240430074534.pdf")</f>
        <v>MCRO_27-CR-23-16927_Order-Evaluation for Competency to Proceed (Rule 20.01)_2023-09-18_20240430074534.pdf</v>
      </c>
      <c r="F218" s="9" t="n">
        <v>45187</v>
      </c>
      <c r="G218" s="1" t="s">
        <v>150</v>
      </c>
      <c r="H218" s="3" t="s">
        <v>151</v>
      </c>
      <c r="I218" s="3" t="s">
        <v>152</v>
      </c>
      <c r="J218" s="3" t="s">
        <v>64</v>
      </c>
      <c r="K218" s="10" t="s">
        <v>153</v>
      </c>
      <c r="L218" s="3" t="s">
        <v>154</v>
      </c>
      <c r="N218" s="10"/>
    </row>
    <row r="219" customFormat="false" ht="18.7" hidden="false" customHeight="true" outlineLevel="0" collapsed="false">
      <c r="A219" s="1" t="n">
        <v>218</v>
      </c>
      <c r="F219" s="9"/>
      <c r="K219" s="10"/>
      <c r="N219" s="10"/>
    </row>
    <row r="220" customFormat="false" ht="18.7" hidden="false" customHeight="true" outlineLevel="0" collapsed="false">
      <c r="A220" s="1" t="n">
        <v>219</v>
      </c>
      <c r="B220" s="7" t="str">
        <f aca="false">HYPERLINK("https://mncourtfraud.com/file/GES-18.zip","GES-18.zip")</f>
        <v>GES-18.zip</v>
      </c>
      <c r="C220" s="8" t="str">
        <f aca="false">HYPERLINK("https://mncourtfraud.com/file/27-CR-21-1980.pdf","27-CR-21-1980")</f>
        <v>27-CR-21-1980</v>
      </c>
      <c r="D220" s="3" t="s">
        <v>85</v>
      </c>
      <c r="E220" s="8" t="str">
        <f aca="false">HYPERLINK("https://mncourtfraud.com/file/MCRO_27-CR-21-1980_Notice of Remote Hearing with Instructions_2023-11-28_20240430075955.pdf","MCRO_27-CR-21-1980_Notice of Remote Hearing with Instructions_2023-11-28_20240430075955.pdf")</f>
        <v>MCRO_27-CR-21-1980_Notice of Remote Hearing with Instructions_2023-11-28_20240430075955.pdf</v>
      </c>
      <c r="F220" s="9" t="n">
        <v>45258</v>
      </c>
      <c r="G220" s="1" t="s">
        <v>155</v>
      </c>
      <c r="H220" s="3" t="s">
        <v>156</v>
      </c>
      <c r="I220" s="3" t="s">
        <v>157</v>
      </c>
      <c r="K220" s="10"/>
      <c r="N220" s="10"/>
    </row>
    <row r="221" customFormat="false" ht="18.7" hidden="false" customHeight="true" outlineLevel="0" collapsed="false">
      <c r="A221" s="1" t="n">
        <v>220</v>
      </c>
      <c r="B221" s="7" t="str">
        <f aca="false">HYPERLINK("https://mncourtfraud.com/file/GES-18.zip","GES-18.zip")</f>
        <v>GES-18.zip</v>
      </c>
      <c r="C221" s="8" t="str">
        <f aca="false">HYPERLINK("https://mncourtfraud.com/file/27-CR-21-20072.pdf","27-CR-21-20072")</f>
        <v>27-CR-21-20072</v>
      </c>
      <c r="D221" s="3" t="s">
        <v>85</v>
      </c>
      <c r="E221" s="8" t="str">
        <f aca="false">HYPERLINK("https://mncourtfraud.com/file/MCRO_27-CR-21-20072_Notice of Remote Hearing with Instructions_2023-11-28_20240430083046.pdf","MCRO_27-CR-21-20072_Notice of Remote Hearing with Instructions_2023-11-28_20240430083046.pdf")</f>
        <v>MCRO_27-CR-21-20072_Notice of Remote Hearing with Instructions_2023-11-28_20240430083046.pdf</v>
      </c>
      <c r="F221" s="9" t="n">
        <v>45258</v>
      </c>
      <c r="G221" s="1" t="s">
        <v>155</v>
      </c>
      <c r="H221" s="3" t="s">
        <v>156</v>
      </c>
      <c r="I221" s="3" t="s">
        <v>157</v>
      </c>
      <c r="K221" s="10"/>
      <c r="N221" s="10"/>
    </row>
    <row r="222" customFormat="false" ht="18.7" hidden="false" customHeight="true" outlineLevel="0" collapsed="false">
      <c r="A222" s="1" t="n">
        <v>221</v>
      </c>
      <c r="B222" s="7" t="str">
        <f aca="false">HYPERLINK("https://mncourtfraud.com/file/GES-18.zip","GES-18.zip")</f>
        <v>GES-18.zip</v>
      </c>
      <c r="C222" s="8" t="str">
        <f aca="false">HYPERLINK("https://mncourtfraud.com/file/27-CR-21-20988.pdf","27-CR-21-20988")</f>
        <v>27-CR-21-20988</v>
      </c>
      <c r="D222" s="3" t="s">
        <v>88</v>
      </c>
      <c r="E222" s="8" t="str">
        <f aca="false">HYPERLINK("https://mncourtfraud.com/file/MCRO_27-CR-21-20988_Notice of Remote Hearing with Instructions_2023-11-28_20240430083340.pdf","MCRO_27-CR-21-20988_Notice of Remote Hearing with Instructions_2023-11-28_20240430083340.pdf")</f>
        <v>MCRO_27-CR-21-20988_Notice of Remote Hearing with Instructions_2023-11-28_20240430083340.pdf</v>
      </c>
      <c r="F222" s="9" t="n">
        <v>45258</v>
      </c>
      <c r="G222" s="1" t="s">
        <v>155</v>
      </c>
      <c r="H222" s="3" t="s">
        <v>156</v>
      </c>
      <c r="I222" s="3" t="s">
        <v>157</v>
      </c>
      <c r="K222" s="10"/>
      <c r="N222" s="10"/>
    </row>
    <row r="223" customFormat="false" ht="18.7" hidden="false" customHeight="true" outlineLevel="0" collapsed="false">
      <c r="A223" s="1" t="n">
        <v>222</v>
      </c>
      <c r="B223" s="7" t="str">
        <f aca="false">HYPERLINK("https://mncourtfraud.com/file/GES-18.zip","GES-18.zip")</f>
        <v>GES-18.zip</v>
      </c>
      <c r="C223" s="8" t="str">
        <f aca="false">HYPERLINK("https://mncourtfraud.com/file/27-CR-21-21355.pdf","27-CR-21-21355")</f>
        <v>27-CR-21-21355</v>
      </c>
      <c r="D223" s="3" t="s">
        <v>88</v>
      </c>
      <c r="E223" s="8" t="str">
        <f aca="false">HYPERLINK("https://mncourtfraud.com/file/MCRO_27-CR-21-21355_Notice of Remote Hearing with Instructions_2023-11-28_20240430083447.pdf","MCRO_27-CR-21-21355_Notice of Remote Hearing with Instructions_2023-11-28_20240430083447.pdf")</f>
        <v>MCRO_27-CR-21-21355_Notice of Remote Hearing with Instructions_2023-11-28_20240430083447.pdf</v>
      </c>
      <c r="F223" s="9" t="n">
        <v>45258</v>
      </c>
      <c r="G223" s="1" t="s">
        <v>155</v>
      </c>
      <c r="H223" s="3" t="s">
        <v>156</v>
      </c>
      <c r="I223" s="3" t="s">
        <v>157</v>
      </c>
      <c r="K223" s="10"/>
      <c r="N223" s="10"/>
    </row>
    <row r="224" customFormat="false" ht="18.7" hidden="false" customHeight="true" outlineLevel="0" collapsed="false">
      <c r="A224" s="1" t="n">
        <v>223</v>
      </c>
      <c r="B224" s="7" t="str">
        <f aca="false">HYPERLINK("https://mncourtfraud.com/file/GES-18.zip","GES-18.zip")</f>
        <v>GES-18.zip</v>
      </c>
      <c r="C224" s="8" t="str">
        <f aca="false">HYPERLINK("https://mncourtfraud.com/file/27-CR-21-23188.pdf","27-CR-21-23188")</f>
        <v>27-CR-21-23188</v>
      </c>
      <c r="D224" s="3" t="s">
        <v>88</v>
      </c>
      <c r="E224" s="8" t="str">
        <f aca="false">HYPERLINK("https://mncourtfraud.com/file/MCRO_27-CR-21-23188_Notice of Remote Hearing with Instructions_2023-11-28_20240430083737.pdf","MCRO_27-CR-21-23188_Notice of Remote Hearing with Instructions_2023-11-28_20240430083737.pdf")</f>
        <v>MCRO_27-CR-21-23188_Notice of Remote Hearing with Instructions_2023-11-28_20240430083737.pdf</v>
      </c>
      <c r="F224" s="9" t="n">
        <v>45258</v>
      </c>
      <c r="G224" s="1" t="s">
        <v>155</v>
      </c>
      <c r="H224" s="3" t="s">
        <v>156</v>
      </c>
      <c r="I224" s="3" t="s">
        <v>157</v>
      </c>
      <c r="K224" s="10"/>
      <c r="N224" s="10"/>
    </row>
    <row r="225" customFormat="false" ht="18.7" hidden="false" customHeight="true" outlineLevel="0" collapsed="false">
      <c r="A225" s="1" t="n">
        <v>224</v>
      </c>
      <c r="B225" s="7" t="str">
        <f aca="false">HYPERLINK("https://mncourtfraud.com/file/GES-18.zip","GES-18.zip")</f>
        <v>GES-18.zip</v>
      </c>
      <c r="C225" s="8" t="str">
        <f aca="false">HYPERLINK("https://mncourtfraud.com/file/27-CR-21-23215.pdf","27-CR-21-23215")</f>
        <v>27-CR-21-23215</v>
      </c>
      <c r="D225" s="3" t="s">
        <v>88</v>
      </c>
      <c r="E225" s="8" t="str">
        <f aca="false">HYPERLINK("https://mncourtfraud.com/file/MCRO_27-CR-21-23215_Notice of Remote Hearing with Instructions_2023-11-28_20240430084122.pdf","MCRO_27-CR-21-23215_Notice of Remote Hearing with Instructions_2023-11-28_20240430084122.pdf")</f>
        <v>MCRO_27-CR-21-23215_Notice of Remote Hearing with Instructions_2023-11-28_20240430084122.pdf</v>
      </c>
      <c r="F225" s="9" t="n">
        <v>45258</v>
      </c>
      <c r="G225" s="1" t="s">
        <v>155</v>
      </c>
      <c r="H225" s="3" t="s">
        <v>156</v>
      </c>
      <c r="I225" s="3" t="s">
        <v>157</v>
      </c>
      <c r="K225" s="10"/>
      <c r="N225" s="10"/>
    </row>
    <row r="226" customFormat="false" ht="18.7" hidden="false" customHeight="true" outlineLevel="0" collapsed="false">
      <c r="A226" s="1" t="n">
        <v>225</v>
      </c>
      <c r="B226" s="7" t="str">
        <f aca="false">HYPERLINK("https://mncourtfraud.com/file/GES-18.zip","GES-18.zip")</f>
        <v>GES-18.zip</v>
      </c>
      <c r="C226" s="8" t="str">
        <f aca="false">HYPERLINK("https://mncourtfraud.com/file/27-CR-22-22963.pdf","27-CR-22-22963")</f>
        <v>27-CR-22-22963</v>
      </c>
      <c r="D226" s="3" t="s">
        <v>88</v>
      </c>
      <c r="E226" s="8" t="str">
        <f aca="false">HYPERLINK("https://mncourtfraud.com/file/MCRO_27-CR-22-22963_Notice of Remote Hearing with Instructions_2023-11-28_20240429163937.pdf","MCRO_27-CR-22-22963_Notice of Remote Hearing with Instructions_2023-11-28_20240429163937.pdf")</f>
        <v>MCRO_27-CR-22-22963_Notice of Remote Hearing with Instructions_2023-11-28_20240429163937.pdf</v>
      </c>
      <c r="F226" s="9" t="n">
        <v>45258</v>
      </c>
      <c r="G226" s="1" t="s">
        <v>155</v>
      </c>
      <c r="H226" s="3" t="s">
        <v>156</v>
      </c>
      <c r="I226" s="3" t="s">
        <v>157</v>
      </c>
      <c r="K226" s="10"/>
      <c r="N226" s="10"/>
    </row>
    <row r="227" customFormat="false" ht="18.7" hidden="false" customHeight="true" outlineLevel="0" collapsed="false">
      <c r="A227" s="1" t="n">
        <v>226</v>
      </c>
      <c r="B227" s="7" t="str">
        <f aca="false">HYPERLINK("https://mncourtfraud.com/file/GES-18.zip","GES-18.zip")</f>
        <v>GES-18.zip</v>
      </c>
      <c r="C227" s="8" t="str">
        <f aca="false">HYPERLINK("https://mncourtfraud.com/file/27-CR-22-4087.pdf","27-CR-22-4087")</f>
        <v>27-CR-22-4087</v>
      </c>
      <c r="D227" s="3" t="s">
        <v>88</v>
      </c>
      <c r="E227" s="8" t="str">
        <f aca="false">HYPERLINK("https://mncourtfraud.com/file/MCRO_27-CR-22-4087_Notice of Remote Hearing with Instructions_2023-11-28_20240429035300.pdf","MCRO_27-CR-22-4087_Notice of Remote Hearing with Instructions_2023-11-28_20240429035300.pdf")</f>
        <v>MCRO_27-CR-22-4087_Notice of Remote Hearing with Instructions_2023-11-28_20240429035300.pdf</v>
      </c>
      <c r="F227" s="9" t="n">
        <v>45258</v>
      </c>
      <c r="G227" s="1" t="s">
        <v>155</v>
      </c>
      <c r="H227" s="3" t="s">
        <v>156</v>
      </c>
      <c r="I227" s="3" t="s">
        <v>157</v>
      </c>
      <c r="K227" s="10"/>
      <c r="N227" s="10"/>
    </row>
    <row r="228" customFormat="false" ht="18.7" hidden="false" customHeight="true" outlineLevel="0" collapsed="false">
      <c r="A228" s="1" t="n">
        <v>227</v>
      </c>
      <c r="B228" s="7" t="str">
        <f aca="false">HYPERLINK("https://mncourtfraud.com/file/GES-18.zip","GES-18.zip")</f>
        <v>GES-18.zip</v>
      </c>
      <c r="C228" s="8" t="str">
        <f aca="false">HYPERLINK("https://mncourtfraud.com/file/27-CR-23-16927.pdf","27-CR-23-16927")</f>
        <v>27-CR-23-16927</v>
      </c>
      <c r="D228" s="3" t="s">
        <v>88</v>
      </c>
      <c r="E228" s="8" t="str">
        <f aca="false">HYPERLINK("https://mncourtfraud.com/file/MCRO_27-CR-23-16927_Notice of Remote Hearing with Instructions_2023-11-28_20240430074533.pdf","MCRO_27-CR-23-16927_Notice of Remote Hearing with Instructions_2023-11-28_20240430074533.pdf")</f>
        <v>MCRO_27-CR-23-16927_Notice of Remote Hearing with Instructions_2023-11-28_20240430074533.pdf</v>
      </c>
      <c r="F228" s="9" t="n">
        <v>45258</v>
      </c>
      <c r="G228" s="1" t="s">
        <v>155</v>
      </c>
      <c r="H228" s="3" t="s">
        <v>156</v>
      </c>
      <c r="I228" s="3" t="s">
        <v>157</v>
      </c>
      <c r="K228" s="10"/>
      <c r="N228" s="10"/>
    </row>
    <row r="229" customFormat="false" ht="18.7" hidden="false" customHeight="true" outlineLevel="0" collapsed="false">
      <c r="A229" s="1" t="n">
        <v>228</v>
      </c>
      <c r="F229" s="9"/>
      <c r="K229" s="10"/>
      <c r="N229" s="10"/>
    </row>
    <row r="230" customFormat="false" ht="18.7" hidden="false" customHeight="true" outlineLevel="0" collapsed="false">
      <c r="A230" s="1" t="n">
        <v>229</v>
      </c>
      <c r="B230" s="7" t="str">
        <f aca="false">HYPERLINK("https://mncourtfraud.com/file/GES-19.zip","GES-19.zip")</f>
        <v>GES-19.zip</v>
      </c>
      <c r="C230" s="8" t="str">
        <f aca="false">HYPERLINK("https://mncourtfraud.com/file/27-CR-21-1980.pdf","27-CR-21-1980")</f>
        <v>27-CR-21-1980</v>
      </c>
      <c r="D230" s="3" t="s">
        <v>85</v>
      </c>
      <c r="E230" s="8" t="str">
        <f aca="false">HYPERLINK("https://mncourtfraud.com/file/MCRO_27-CR-21-1980_Notice of Remote Hearing with Instructions_2023-12-05_20240430075954.pdf","MCRO_27-CR-21-1980_Notice of Remote Hearing with Instructions_2023-12-05_20240430075954.pdf")</f>
        <v>MCRO_27-CR-21-1980_Notice of Remote Hearing with Instructions_2023-12-05_20240430075954.pdf</v>
      </c>
      <c r="F230" s="9" t="n">
        <v>45265</v>
      </c>
      <c r="G230" s="1" t="s">
        <v>158</v>
      </c>
      <c r="H230" s="3" t="s">
        <v>159</v>
      </c>
      <c r="I230" s="3" t="s">
        <v>160</v>
      </c>
      <c r="K230" s="10"/>
      <c r="N230" s="10"/>
    </row>
    <row r="231" customFormat="false" ht="18.7" hidden="false" customHeight="true" outlineLevel="0" collapsed="false">
      <c r="A231" s="1" t="n">
        <v>230</v>
      </c>
      <c r="B231" s="7" t="str">
        <f aca="false">HYPERLINK("https://mncourtfraud.com/file/GES-19.zip","GES-19.zip")</f>
        <v>GES-19.zip</v>
      </c>
      <c r="C231" s="8" t="str">
        <f aca="false">HYPERLINK("https://mncourtfraud.com/file/27-CR-21-20072.pdf","27-CR-21-20072")</f>
        <v>27-CR-21-20072</v>
      </c>
      <c r="D231" s="3" t="s">
        <v>85</v>
      </c>
      <c r="E231" s="8" t="str">
        <f aca="false">HYPERLINK("https://mncourtfraud.com/file/MCRO_27-CR-21-20072_Notice of Remote Hearing with Instructions_2023-12-05_20240430083045.pdf","MCRO_27-CR-21-20072_Notice of Remote Hearing with Instructions_2023-12-05_20240430083045.pdf")</f>
        <v>MCRO_27-CR-21-20072_Notice of Remote Hearing with Instructions_2023-12-05_20240430083045.pdf</v>
      </c>
      <c r="F231" s="9" t="n">
        <v>45265</v>
      </c>
      <c r="G231" s="1" t="s">
        <v>158</v>
      </c>
      <c r="H231" s="3" t="s">
        <v>159</v>
      </c>
      <c r="I231" s="3" t="s">
        <v>160</v>
      </c>
      <c r="K231" s="10"/>
      <c r="N231" s="10"/>
    </row>
    <row r="232" customFormat="false" ht="18.7" hidden="false" customHeight="true" outlineLevel="0" collapsed="false">
      <c r="A232" s="1" t="n">
        <v>231</v>
      </c>
      <c r="B232" s="7" t="str">
        <f aca="false">HYPERLINK("https://mncourtfraud.com/file/GES-19.zip","GES-19.zip")</f>
        <v>GES-19.zip</v>
      </c>
      <c r="C232" s="8" t="str">
        <f aca="false">HYPERLINK("https://mncourtfraud.com/file/27-CR-21-20988.pdf","27-CR-21-20988")</f>
        <v>27-CR-21-20988</v>
      </c>
      <c r="D232" s="3" t="s">
        <v>88</v>
      </c>
      <c r="E232" s="8" t="str">
        <f aca="false">HYPERLINK("https://mncourtfraud.com/file/MCRO_27-CR-21-20988_Notice of Remote Hearing with Instructions_2023-12-05_20240430083339.pdf","MCRO_27-CR-21-20988_Notice of Remote Hearing with Instructions_2023-12-05_20240430083339.pdf")</f>
        <v>MCRO_27-CR-21-20988_Notice of Remote Hearing with Instructions_2023-12-05_20240430083339.pdf</v>
      </c>
      <c r="F232" s="9" t="n">
        <v>45265</v>
      </c>
      <c r="G232" s="1" t="s">
        <v>158</v>
      </c>
      <c r="H232" s="3" t="s">
        <v>159</v>
      </c>
      <c r="I232" s="3" t="s">
        <v>160</v>
      </c>
      <c r="K232" s="10"/>
      <c r="N232" s="10"/>
    </row>
    <row r="233" customFormat="false" ht="18.7" hidden="false" customHeight="true" outlineLevel="0" collapsed="false">
      <c r="A233" s="1" t="n">
        <v>232</v>
      </c>
      <c r="B233" s="7" t="str">
        <f aca="false">HYPERLINK("https://mncourtfraud.com/file/GES-19.zip","GES-19.zip")</f>
        <v>GES-19.zip</v>
      </c>
      <c r="C233" s="8" t="str">
        <f aca="false">HYPERLINK("https://mncourtfraud.com/file/27-CR-21-21355.pdf","27-CR-21-21355")</f>
        <v>27-CR-21-21355</v>
      </c>
      <c r="D233" s="3" t="s">
        <v>88</v>
      </c>
      <c r="E233" s="8" t="str">
        <f aca="false">HYPERLINK("https://mncourtfraud.com/file/MCRO_27-CR-21-21355_Notice of Remote Hearing with Instructions_2023-12-05_20240430083446.pdf","MCRO_27-CR-21-21355_Notice of Remote Hearing with Instructions_2023-12-05_20240430083446.pdf")</f>
        <v>MCRO_27-CR-21-21355_Notice of Remote Hearing with Instructions_2023-12-05_20240430083446.pdf</v>
      </c>
      <c r="F233" s="9" t="n">
        <v>45265</v>
      </c>
      <c r="G233" s="1" t="s">
        <v>158</v>
      </c>
      <c r="H233" s="3" t="s">
        <v>159</v>
      </c>
      <c r="I233" s="3" t="s">
        <v>160</v>
      </c>
      <c r="K233" s="10"/>
      <c r="N233" s="10"/>
    </row>
    <row r="234" customFormat="false" ht="18.7" hidden="false" customHeight="true" outlineLevel="0" collapsed="false">
      <c r="A234" s="1" t="n">
        <v>233</v>
      </c>
      <c r="B234" s="7" t="str">
        <f aca="false">HYPERLINK("https://mncourtfraud.com/file/GES-19.zip","GES-19.zip")</f>
        <v>GES-19.zip</v>
      </c>
      <c r="C234" s="8" t="str">
        <f aca="false">HYPERLINK("https://mncourtfraud.com/file/27-CR-21-23188.pdf","27-CR-21-23188")</f>
        <v>27-CR-21-23188</v>
      </c>
      <c r="D234" s="3" t="s">
        <v>88</v>
      </c>
      <c r="E234" s="8" t="str">
        <f aca="false">HYPERLINK("https://mncourtfraud.com/file/MCRO_27-CR-21-23188_Notice of Remote Hearing with Instructions_2023-12-05_20240430083736.pdf","MCRO_27-CR-21-23188_Notice of Remote Hearing with Instructions_2023-12-05_20240430083736.pdf")</f>
        <v>MCRO_27-CR-21-23188_Notice of Remote Hearing with Instructions_2023-12-05_20240430083736.pdf</v>
      </c>
      <c r="F234" s="9" t="n">
        <v>45265</v>
      </c>
      <c r="G234" s="1" t="s">
        <v>158</v>
      </c>
      <c r="H234" s="3" t="s">
        <v>159</v>
      </c>
      <c r="I234" s="3" t="s">
        <v>160</v>
      </c>
      <c r="K234" s="10"/>
      <c r="N234" s="10"/>
    </row>
    <row r="235" customFormat="false" ht="18.7" hidden="false" customHeight="true" outlineLevel="0" collapsed="false">
      <c r="A235" s="1" t="n">
        <v>234</v>
      </c>
      <c r="B235" s="7" t="str">
        <f aca="false">HYPERLINK("https://mncourtfraud.com/file/GES-19.zip","GES-19.zip")</f>
        <v>GES-19.zip</v>
      </c>
      <c r="C235" s="8" t="str">
        <f aca="false">HYPERLINK("https://mncourtfraud.com/file/27-CR-21-23215.pdf","27-CR-21-23215")</f>
        <v>27-CR-21-23215</v>
      </c>
      <c r="D235" s="3" t="s">
        <v>88</v>
      </c>
      <c r="E235" s="8" t="str">
        <f aca="false">HYPERLINK("https://mncourtfraud.com/file/MCRO_27-CR-21-23215_Notice of Remote Hearing with Instructions_2023-12-05_20240430084121.pdf","MCRO_27-CR-21-23215_Notice of Remote Hearing with Instructions_2023-12-05_20240430084121.pdf")</f>
        <v>MCRO_27-CR-21-23215_Notice of Remote Hearing with Instructions_2023-12-05_20240430084121.pdf</v>
      </c>
      <c r="F235" s="9" t="n">
        <v>45265</v>
      </c>
      <c r="G235" s="1" t="s">
        <v>158</v>
      </c>
      <c r="H235" s="3" t="s">
        <v>159</v>
      </c>
      <c r="I235" s="3" t="s">
        <v>160</v>
      </c>
      <c r="K235" s="10"/>
      <c r="N235" s="10"/>
    </row>
    <row r="236" customFormat="false" ht="18.7" hidden="false" customHeight="true" outlineLevel="0" collapsed="false">
      <c r="A236" s="1" t="n">
        <v>235</v>
      </c>
      <c r="B236" s="7" t="str">
        <f aca="false">HYPERLINK("https://mncourtfraud.com/file/GES-19.zip","GES-19.zip")</f>
        <v>GES-19.zip</v>
      </c>
      <c r="C236" s="8" t="str">
        <f aca="false">HYPERLINK("https://mncourtfraud.com/file/27-CR-22-22963.pdf","27-CR-22-22963")</f>
        <v>27-CR-22-22963</v>
      </c>
      <c r="D236" s="3" t="s">
        <v>88</v>
      </c>
      <c r="E236" s="8" t="str">
        <f aca="false">HYPERLINK("https://mncourtfraud.com/file/MCRO_27-CR-22-22963_Notice of Remote Hearing with Instructions_2023-12-05_20240429163936.pdf","MCRO_27-CR-22-22963_Notice of Remote Hearing with Instructions_2023-12-05_20240429163936.pdf")</f>
        <v>MCRO_27-CR-22-22963_Notice of Remote Hearing with Instructions_2023-12-05_20240429163936.pdf</v>
      </c>
      <c r="F236" s="9" t="n">
        <v>45265</v>
      </c>
      <c r="G236" s="1" t="s">
        <v>158</v>
      </c>
      <c r="H236" s="3" t="s">
        <v>159</v>
      </c>
      <c r="I236" s="3" t="s">
        <v>160</v>
      </c>
      <c r="K236" s="10"/>
      <c r="N236" s="10"/>
    </row>
    <row r="237" customFormat="false" ht="18.7" hidden="false" customHeight="true" outlineLevel="0" collapsed="false">
      <c r="A237" s="1" t="n">
        <v>236</v>
      </c>
      <c r="B237" s="7" t="str">
        <f aca="false">HYPERLINK("https://mncourtfraud.com/file/GES-19.zip","GES-19.zip")</f>
        <v>GES-19.zip</v>
      </c>
      <c r="C237" s="8" t="str">
        <f aca="false">HYPERLINK("https://mncourtfraud.com/file/27-CR-22-4087.pdf","27-CR-22-4087")</f>
        <v>27-CR-22-4087</v>
      </c>
      <c r="D237" s="3" t="s">
        <v>88</v>
      </c>
      <c r="E237" s="8" t="str">
        <f aca="false">HYPERLINK("https://mncourtfraud.com/file/MCRO_27-CR-22-4087_Notice of Remote Hearing with Instructions_2023-12-05_20240429035258.pdf","MCRO_27-CR-22-4087_Notice of Remote Hearing with Instructions_2023-12-05_20240429035258.pdf")</f>
        <v>MCRO_27-CR-22-4087_Notice of Remote Hearing with Instructions_2023-12-05_20240429035258.pdf</v>
      </c>
      <c r="F237" s="9" t="n">
        <v>45265</v>
      </c>
      <c r="G237" s="1" t="s">
        <v>158</v>
      </c>
      <c r="H237" s="3" t="s">
        <v>159</v>
      </c>
      <c r="I237" s="3" t="s">
        <v>160</v>
      </c>
      <c r="K237" s="10"/>
      <c r="N237" s="10"/>
    </row>
    <row r="238" customFormat="false" ht="18.7" hidden="false" customHeight="true" outlineLevel="0" collapsed="false">
      <c r="A238" s="1" t="n">
        <v>237</v>
      </c>
      <c r="B238" s="7" t="str">
        <f aca="false">HYPERLINK("https://mncourtfraud.com/file/GES-19.zip","GES-19.zip")</f>
        <v>GES-19.zip</v>
      </c>
      <c r="C238" s="8" t="str">
        <f aca="false">HYPERLINK("https://mncourtfraud.com/file/27-CR-23-16927.pdf","27-CR-23-16927")</f>
        <v>27-CR-23-16927</v>
      </c>
      <c r="D238" s="3" t="s">
        <v>88</v>
      </c>
      <c r="E238" s="8" t="str">
        <f aca="false">HYPERLINK("https://mncourtfraud.com/file/MCRO_27-CR-23-16927_Notice of Remote Hearing with Instructions_2023-12-05_20240430074532.pdf","MCRO_27-CR-23-16927_Notice of Remote Hearing with Instructions_2023-12-05_20240430074532.pdf")</f>
        <v>MCRO_27-CR-23-16927_Notice of Remote Hearing with Instructions_2023-12-05_20240430074532.pdf</v>
      </c>
      <c r="F238" s="9" t="n">
        <v>45265</v>
      </c>
      <c r="G238" s="1" t="s">
        <v>158</v>
      </c>
      <c r="H238" s="3" t="s">
        <v>159</v>
      </c>
      <c r="I238" s="3" t="s">
        <v>160</v>
      </c>
      <c r="K238" s="10"/>
      <c r="N238" s="10"/>
    </row>
    <row r="239" customFormat="false" ht="18.7" hidden="false" customHeight="true" outlineLevel="0" collapsed="false">
      <c r="A239" s="1" t="n">
        <v>238</v>
      </c>
      <c r="F239" s="9"/>
      <c r="K239" s="10"/>
      <c r="N239" s="10"/>
    </row>
    <row r="240" customFormat="false" ht="18.7" hidden="false" customHeight="true" outlineLevel="0" collapsed="false">
      <c r="A240" s="1" t="n">
        <v>239</v>
      </c>
      <c r="B240" s="7" t="str">
        <f aca="false">HYPERLINK("https://mncourtfraud.com/file/GES-20.zip","GES-20.zip")</f>
        <v>GES-20.zip</v>
      </c>
      <c r="C240" s="8" t="str">
        <f aca="false">HYPERLINK("https://mncourtfraud.com/file/27-CR-21-1980.pdf","27-CR-21-1980")</f>
        <v>27-CR-21-1980</v>
      </c>
      <c r="D240" s="3" t="s">
        <v>85</v>
      </c>
      <c r="E240" s="8" t="str">
        <f aca="false">HYPERLINK("https://mncourtfraud.com/file/MCRO_27-CR-21-1980_Order-Evaluation for Competency to Proceed (Rule 20.01)_2024-01-26_20240430075951.pdf","MCRO_27-CR-21-1980_Order-Evaluation for Competency to Proceed (Rule 20.01)_2024-01-26_20240430075951.pdf")</f>
        <v>MCRO_27-CR-21-1980_Order-Evaluation for Competency to Proceed (Rule 20.01)_2024-01-26_20240430075951.pdf</v>
      </c>
      <c r="F240" s="9" t="n">
        <v>45317</v>
      </c>
      <c r="G240" s="1" t="s">
        <v>161</v>
      </c>
      <c r="H240" s="3" t="s">
        <v>162</v>
      </c>
      <c r="I240" s="3" t="s">
        <v>163</v>
      </c>
      <c r="J240" s="3" t="s">
        <v>64</v>
      </c>
      <c r="K240" s="10" t="s">
        <v>164</v>
      </c>
      <c r="L240" s="3" t="s">
        <v>165</v>
      </c>
      <c r="N240" s="10"/>
    </row>
    <row r="241" customFormat="false" ht="18.7" hidden="false" customHeight="true" outlineLevel="0" collapsed="false">
      <c r="A241" s="1" t="n">
        <v>240</v>
      </c>
      <c r="B241" s="7" t="str">
        <f aca="false">HYPERLINK("https://mncourtfraud.com/file/GES-20.zip","GES-20.zip")</f>
        <v>GES-20.zip</v>
      </c>
      <c r="C241" s="8" t="str">
        <f aca="false">HYPERLINK("https://mncourtfraud.com/file/27-CR-21-20072.pdf","27-CR-21-20072")</f>
        <v>27-CR-21-20072</v>
      </c>
      <c r="D241" s="3" t="s">
        <v>85</v>
      </c>
      <c r="E241" s="8" t="str">
        <f aca="false">HYPERLINK("https://mncourtfraud.com/file/MCRO_27-CR-21-20072_Order-Evaluation for Competency to Proceed (Rule 20.01)_2024-01-26_20240430083043.pdf","MCRO_27-CR-21-20072_Order-Evaluation for Competency to Proceed (Rule 20.01)_2024-01-26_20240430083043.pdf")</f>
        <v>MCRO_27-CR-21-20072_Order-Evaluation for Competency to Proceed (Rule 20.01)_2024-01-26_20240430083043.pdf</v>
      </c>
      <c r="F241" s="9" t="n">
        <v>45317</v>
      </c>
      <c r="G241" s="1" t="s">
        <v>161</v>
      </c>
      <c r="H241" s="3" t="s">
        <v>162</v>
      </c>
      <c r="I241" s="3" t="s">
        <v>163</v>
      </c>
      <c r="J241" s="3" t="s">
        <v>64</v>
      </c>
      <c r="K241" s="10" t="s">
        <v>164</v>
      </c>
      <c r="L241" s="3" t="s">
        <v>165</v>
      </c>
      <c r="N241" s="10"/>
    </row>
    <row r="242" customFormat="false" ht="18.7" hidden="false" customHeight="true" outlineLevel="0" collapsed="false">
      <c r="A242" s="1" t="n">
        <v>241</v>
      </c>
      <c r="B242" s="7" t="str">
        <f aca="false">HYPERLINK("https://mncourtfraud.com/file/GES-20.zip","GES-20.zip")</f>
        <v>GES-20.zip</v>
      </c>
      <c r="C242" s="8" t="str">
        <f aca="false">HYPERLINK("https://mncourtfraud.com/file/27-CR-21-20988.pdf","27-CR-21-20988")</f>
        <v>27-CR-21-20988</v>
      </c>
      <c r="D242" s="3" t="s">
        <v>88</v>
      </c>
      <c r="E242" s="8" t="str">
        <f aca="false">HYPERLINK("https://mncourtfraud.com/file/MCRO_27-CR-21-20988_Order-Evaluation for Competency to Proceed (Rule 20.01)_2024-01-26_20240430083337.pdf","MCRO_27-CR-21-20988_Order-Evaluation for Competency to Proceed (Rule 20.01)_2024-01-26_20240430083337.pdf")</f>
        <v>MCRO_27-CR-21-20988_Order-Evaluation for Competency to Proceed (Rule 20.01)_2024-01-26_20240430083337.pdf</v>
      </c>
      <c r="F242" s="9" t="n">
        <v>45317</v>
      </c>
      <c r="G242" s="1" t="s">
        <v>161</v>
      </c>
      <c r="H242" s="3" t="s">
        <v>162</v>
      </c>
      <c r="I242" s="3" t="s">
        <v>163</v>
      </c>
      <c r="J242" s="3" t="s">
        <v>64</v>
      </c>
      <c r="K242" s="10" t="s">
        <v>164</v>
      </c>
      <c r="L242" s="3" t="s">
        <v>165</v>
      </c>
      <c r="N242" s="10"/>
    </row>
    <row r="243" customFormat="false" ht="18.7" hidden="false" customHeight="true" outlineLevel="0" collapsed="false">
      <c r="A243" s="1" t="n">
        <v>242</v>
      </c>
      <c r="B243" s="7" t="str">
        <f aca="false">HYPERLINK("https://mncourtfraud.com/file/GES-20.zip","GES-20.zip")</f>
        <v>GES-20.zip</v>
      </c>
      <c r="C243" s="8" t="str">
        <f aca="false">HYPERLINK("https://mncourtfraud.com/file/27-CR-21-21355.pdf","27-CR-21-21355")</f>
        <v>27-CR-21-21355</v>
      </c>
      <c r="D243" s="3" t="s">
        <v>88</v>
      </c>
      <c r="E243" s="8" t="str">
        <f aca="false">HYPERLINK("https://mncourtfraud.com/file/MCRO_27-CR-21-21355_Order-Evaluation for Competency to Proceed (Rule 20.01)_2024-01-26_20240430083444.pdf","MCRO_27-CR-21-21355_Order-Evaluation for Competency to Proceed (Rule 20.01)_2024-01-26_20240430083444.pdf")</f>
        <v>MCRO_27-CR-21-21355_Order-Evaluation for Competency to Proceed (Rule 20.01)_2024-01-26_20240430083444.pdf</v>
      </c>
      <c r="F243" s="9" t="n">
        <v>45317</v>
      </c>
      <c r="G243" s="1" t="s">
        <v>161</v>
      </c>
      <c r="H243" s="3" t="s">
        <v>162</v>
      </c>
      <c r="I243" s="3" t="s">
        <v>163</v>
      </c>
      <c r="J243" s="3" t="s">
        <v>64</v>
      </c>
      <c r="K243" s="10" t="s">
        <v>164</v>
      </c>
      <c r="L243" s="3" t="s">
        <v>165</v>
      </c>
      <c r="N243" s="10"/>
    </row>
    <row r="244" customFormat="false" ht="18.7" hidden="false" customHeight="true" outlineLevel="0" collapsed="false">
      <c r="A244" s="1" t="n">
        <v>243</v>
      </c>
      <c r="B244" s="7" t="str">
        <f aca="false">HYPERLINK("https://mncourtfraud.com/file/GES-20.zip","GES-20.zip")</f>
        <v>GES-20.zip</v>
      </c>
      <c r="C244" s="8" t="str">
        <f aca="false">HYPERLINK("https://mncourtfraud.com/file/27-CR-21-23188.pdf","27-CR-21-23188")</f>
        <v>27-CR-21-23188</v>
      </c>
      <c r="D244" s="3" t="s">
        <v>88</v>
      </c>
      <c r="E244" s="8" t="str">
        <f aca="false">HYPERLINK("https://mncourtfraud.com/file/MCRO_27-CR-21-23188_Order-Evaluation for Competency to Proceed (Rule 20.01)_2024-01-26_20240430083735.pdf","MCRO_27-CR-21-23188_Order-Evaluation for Competency to Proceed (Rule 20.01)_2024-01-26_20240430083735.pdf")</f>
        <v>MCRO_27-CR-21-23188_Order-Evaluation for Competency to Proceed (Rule 20.01)_2024-01-26_20240430083735.pdf</v>
      </c>
      <c r="F244" s="9" t="n">
        <v>45317</v>
      </c>
      <c r="G244" s="1" t="s">
        <v>161</v>
      </c>
      <c r="H244" s="3" t="s">
        <v>162</v>
      </c>
      <c r="I244" s="3" t="s">
        <v>163</v>
      </c>
      <c r="J244" s="3" t="s">
        <v>64</v>
      </c>
      <c r="K244" s="10" t="s">
        <v>164</v>
      </c>
      <c r="L244" s="3" t="s">
        <v>165</v>
      </c>
      <c r="N244" s="10"/>
    </row>
    <row r="245" customFormat="false" ht="18.7" hidden="false" customHeight="true" outlineLevel="0" collapsed="false">
      <c r="A245" s="1" t="n">
        <v>244</v>
      </c>
      <c r="B245" s="7" t="str">
        <f aca="false">HYPERLINK("https://mncourtfraud.com/file/GES-20.zip","GES-20.zip")</f>
        <v>GES-20.zip</v>
      </c>
      <c r="C245" s="8" t="str">
        <f aca="false">HYPERLINK("https://mncourtfraud.com/file/27-CR-21-23215.pdf","27-CR-21-23215")</f>
        <v>27-CR-21-23215</v>
      </c>
      <c r="D245" s="3" t="s">
        <v>88</v>
      </c>
      <c r="E245" s="8" t="str">
        <f aca="false">HYPERLINK("https://mncourtfraud.com/file/MCRO_27-CR-21-23215_Order-Evaluation for Competency to Proceed (Rule 20.01)_2024-01-26_20240430084119.pdf","MCRO_27-CR-21-23215_Order-Evaluation for Competency to Proceed (Rule 20.01)_2024-01-26_20240430084119.pdf")</f>
        <v>MCRO_27-CR-21-23215_Order-Evaluation for Competency to Proceed (Rule 20.01)_2024-01-26_20240430084119.pdf</v>
      </c>
      <c r="F245" s="9" t="n">
        <v>45317</v>
      </c>
      <c r="G245" s="1" t="s">
        <v>161</v>
      </c>
      <c r="H245" s="3" t="s">
        <v>162</v>
      </c>
      <c r="I245" s="3" t="s">
        <v>163</v>
      </c>
      <c r="J245" s="3" t="s">
        <v>64</v>
      </c>
      <c r="K245" s="10" t="s">
        <v>164</v>
      </c>
      <c r="L245" s="3" t="s">
        <v>165</v>
      </c>
      <c r="N245" s="10"/>
    </row>
    <row r="246" customFormat="false" ht="18.7" hidden="false" customHeight="true" outlineLevel="0" collapsed="false">
      <c r="A246" s="1" t="n">
        <v>245</v>
      </c>
      <c r="B246" s="7" t="str">
        <f aca="false">HYPERLINK("https://mncourtfraud.com/file/GES-20.zip","GES-20.zip")</f>
        <v>GES-20.zip</v>
      </c>
      <c r="C246" s="8" t="str">
        <f aca="false">HYPERLINK("https://mncourtfraud.com/file/27-CR-22-22963.pdf","27-CR-22-22963")</f>
        <v>27-CR-22-22963</v>
      </c>
      <c r="D246" s="3" t="s">
        <v>88</v>
      </c>
      <c r="E246" s="8" t="str">
        <f aca="false">HYPERLINK("https://mncourtfraud.com/file/MCRO_27-CR-22-22963_Order-Evaluation for Competency to Proceed (Rule 20.01)_2024-01-26_20240429163935.pdf","MCRO_27-CR-22-22963_Order-Evaluation for Competency to Proceed (Rule 20.01)_2024-01-26_20240429163935.pdf")</f>
        <v>MCRO_27-CR-22-22963_Order-Evaluation for Competency to Proceed (Rule 20.01)_2024-01-26_20240429163935.pdf</v>
      </c>
      <c r="F246" s="9" t="n">
        <v>45317</v>
      </c>
      <c r="G246" s="1" t="s">
        <v>161</v>
      </c>
      <c r="H246" s="3" t="s">
        <v>162</v>
      </c>
      <c r="I246" s="3" t="s">
        <v>163</v>
      </c>
      <c r="J246" s="3" t="s">
        <v>64</v>
      </c>
      <c r="K246" s="10" t="s">
        <v>164</v>
      </c>
      <c r="L246" s="3" t="s">
        <v>165</v>
      </c>
      <c r="N246" s="10"/>
    </row>
    <row r="247" customFormat="false" ht="18.7" hidden="false" customHeight="true" outlineLevel="0" collapsed="false">
      <c r="A247" s="1" t="n">
        <v>246</v>
      </c>
      <c r="B247" s="7" t="str">
        <f aca="false">HYPERLINK("https://mncourtfraud.com/file/GES-20.zip","GES-20.zip")</f>
        <v>GES-20.zip</v>
      </c>
      <c r="C247" s="8" t="str">
        <f aca="false">HYPERLINK("https://mncourtfraud.com/file/27-CR-22-4087.pdf","27-CR-22-4087")</f>
        <v>27-CR-22-4087</v>
      </c>
      <c r="D247" s="3" t="s">
        <v>88</v>
      </c>
      <c r="E247" s="8" t="str">
        <f aca="false">HYPERLINK("https://mncourtfraud.com/file/MCRO_27-CR-22-4087_Order-Evaluation for Competency to Proceed (Rule 20.01)_2024-01-26_20240429035256.pdf","MCRO_27-CR-22-4087_Order-Evaluation for Competency to Proceed (Rule 20.01)_2024-01-26_20240429035256.pdf")</f>
        <v>MCRO_27-CR-22-4087_Order-Evaluation for Competency to Proceed (Rule 20.01)_2024-01-26_20240429035256.pdf</v>
      </c>
      <c r="F247" s="9" t="n">
        <v>45317</v>
      </c>
      <c r="G247" s="1" t="s">
        <v>161</v>
      </c>
      <c r="H247" s="3" t="s">
        <v>162</v>
      </c>
      <c r="I247" s="3" t="s">
        <v>163</v>
      </c>
      <c r="J247" s="3" t="s">
        <v>64</v>
      </c>
      <c r="K247" s="10" t="s">
        <v>164</v>
      </c>
      <c r="L247" s="3" t="s">
        <v>165</v>
      </c>
      <c r="N247" s="10"/>
    </row>
    <row r="248" customFormat="false" ht="18.7" hidden="false" customHeight="true" outlineLevel="0" collapsed="false">
      <c r="A248" s="1" t="n">
        <v>247</v>
      </c>
      <c r="B248" s="7" t="str">
        <f aca="false">HYPERLINK("https://mncourtfraud.com/file/GES-20.zip","GES-20.zip")</f>
        <v>GES-20.zip</v>
      </c>
      <c r="C248" s="8" t="str">
        <f aca="false">HYPERLINK("https://mncourtfraud.com/file/27-CR-23-16927.pdf","27-CR-23-16927")</f>
        <v>27-CR-23-16927</v>
      </c>
      <c r="D248" s="3" t="s">
        <v>88</v>
      </c>
      <c r="E248" s="8" t="str">
        <f aca="false">HYPERLINK("https://mncourtfraud.com/file/MCRO_27-CR-23-16927_Order-Evaluation for Competency to Proceed (Rule 20.01)_2024-01-26_20240430074530.pdf","MCRO_27-CR-23-16927_Order-Evaluation for Competency to Proceed (Rule 20.01)_2024-01-26_20240430074530.pdf")</f>
        <v>MCRO_27-CR-23-16927_Order-Evaluation for Competency to Proceed (Rule 20.01)_2024-01-26_20240430074530.pdf</v>
      </c>
      <c r="F248" s="9" t="n">
        <v>45317</v>
      </c>
      <c r="G248" s="1" t="s">
        <v>161</v>
      </c>
      <c r="H248" s="3" t="s">
        <v>162</v>
      </c>
      <c r="I248" s="3" t="s">
        <v>163</v>
      </c>
      <c r="J248" s="3" t="s">
        <v>64</v>
      </c>
      <c r="K248" s="10" t="s">
        <v>164</v>
      </c>
      <c r="L248" s="3" t="s">
        <v>165</v>
      </c>
      <c r="N248" s="10"/>
    </row>
    <row r="249" customFormat="false" ht="18.7" hidden="false" customHeight="true" outlineLevel="0" collapsed="false">
      <c r="A249" s="1" t="n">
        <v>248</v>
      </c>
      <c r="F249" s="9"/>
      <c r="K249" s="10"/>
      <c r="N249" s="10"/>
    </row>
    <row r="250" customFormat="false" ht="18.7" hidden="false" customHeight="true" outlineLevel="0" collapsed="false">
      <c r="A250" s="1" t="n">
        <v>249</v>
      </c>
      <c r="B250" s="7" t="str">
        <f aca="false">HYPERLINK("https://mncourtfraud.com/file/GES-21.zip","GES-21.zip")</f>
        <v>GES-21.zip</v>
      </c>
      <c r="C250" s="8" t="str">
        <f aca="false">HYPERLINK("https://mncourtfraud.com/file/27-CR-21-1980.pdf","27-CR-21-1980")</f>
        <v>27-CR-21-1980</v>
      </c>
      <c r="D250" s="3" t="s">
        <v>85</v>
      </c>
      <c r="E250" s="8" t="str">
        <f aca="false">HYPERLINK("https://mncourtfraud.com/file/MCRO_27-CR-21-1980_Notice of Hearing_2024-01-26_20240430075950.pdf","MCRO_27-CR-21-1980_Notice of Hearing_2024-01-26_20240430075950.pdf")</f>
        <v>MCRO_27-CR-21-1980_Notice of Hearing_2024-01-26_20240430075950.pdf</v>
      </c>
      <c r="F250" s="9" t="n">
        <v>45317</v>
      </c>
      <c r="G250" s="1" t="s">
        <v>166</v>
      </c>
      <c r="H250" s="3" t="s">
        <v>167</v>
      </c>
      <c r="I250" s="3" t="s">
        <v>168</v>
      </c>
      <c r="K250" s="10"/>
      <c r="N250" s="10"/>
    </row>
    <row r="251" customFormat="false" ht="18.7" hidden="false" customHeight="true" outlineLevel="0" collapsed="false">
      <c r="A251" s="1" t="n">
        <v>250</v>
      </c>
      <c r="B251" s="7" t="str">
        <f aca="false">HYPERLINK("https://mncourtfraud.com/file/GES-21.zip","GES-21.zip")</f>
        <v>GES-21.zip</v>
      </c>
      <c r="C251" s="8" t="str">
        <f aca="false">HYPERLINK("https://mncourtfraud.com/file/27-CR-21-20072.pdf","27-CR-21-20072")</f>
        <v>27-CR-21-20072</v>
      </c>
      <c r="D251" s="3" t="s">
        <v>85</v>
      </c>
      <c r="E251" s="8" t="str">
        <f aca="false">HYPERLINK("https://mncourtfraud.com/file/MCRO_27-CR-21-20072_Notice of Hearing_2024-01-26_20240430083042.pdf","MCRO_27-CR-21-20072_Notice of Hearing_2024-01-26_20240430083042.pdf")</f>
        <v>MCRO_27-CR-21-20072_Notice of Hearing_2024-01-26_20240430083042.pdf</v>
      </c>
      <c r="F251" s="9" t="n">
        <v>45317</v>
      </c>
      <c r="G251" s="1" t="s">
        <v>166</v>
      </c>
      <c r="H251" s="3" t="s">
        <v>167</v>
      </c>
      <c r="I251" s="3" t="s">
        <v>168</v>
      </c>
      <c r="K251" s="10"/>
      <c r="N251" s="10"/>
    </row>
    <row r="252" customFormat="false" ht="18.7" hidden="false" customHeight="true" outlineLevel="0" collapsed="false">
      <c r="A252" s="1" t="n">
        <v>251</v>
      </c>
      <c r="B252" s="7" t="str">
        <f aca="false">HYPERLINK("https://mncourtfraud.com/file/GES-21.zip","GES-21.zip")</f>
        <v>GES-21.zip</v>
      </c>
      <c r="C252" s="8" t="str">
        <f aca="false">HYPERLINK("https://mncourtfraud.com/file/27-CR-21-20988.pdf","27-CR-21-20988")</f>
        <v>27-CR-21-20988</v>
      </c>
      <c r="D252" s="3" t="s">
        <v>88</v>
      </c>
      <c r="E252" s="8" t="str">
        <f aca="false">HYPERLINK("https://mncourtfraud.com/file/MCRO_27-CR-21-20988_Notice of Hearing_2024-01-26_20240430083336.pdf","MCRO_27-CR-21-20988_Notice of Hearing_2024-01-26_20240430083336.pdf")</f>
        <v>MCRO_27-CR-21-20988_Notice of Hearing_2024-01-26_20240430083336.pdf</v>
      </c>
      <c r="F252" s="9" t="n">
        <v>45317</v>
      </c>
      <c r="G252" s="1" t="s">
        <v>166</v>
      </c>
      <c r="H252" s="3" t="s">
        <v>167</v>
      </c>
      <c r="I252" s="3" t="s">
        <v>168</v>
      </c>
      <c r="K252" s="10"/>
      <c r="N252" s="10"/>
    </row>
    <row r="253" customFormat="false" ht="18.7" hidden="false" customHeight="true" outlineLevel="0" collapsed="false">
      <c r="A253" s="1" t="n">
        <v>252</v>
      </c>
      <c r="B253" s="7" t="str">
        <f aca="false">HYPERLINK("https://mncourtfraud.com/file/GES-21.zip","GES-21.zip")</f>
        <v>GES-21.zip</v>
      </c>
      <c r="C253" s="8" t="str">
        <f aca="false">HYPERLINK("https://mncourtfraud.com/file/27-CR-21-21355.pdf","27-CR-21-21355")</f>
        <v>27-CR-21-21355</v>
      </c>
      <c r="D253" s="3" t="s">
        <v>88</v>
      </c>
      <c r="E253" s="8" t="str">
        <f aca="false">HYPERLINK("https://mncourtfraud.com/file/MCRO_27-CR-21-21355_Notice of Hearing_2024-01-26_20240430083443.pdf","MCRO_27-CR-21-21355_Notice of Hearing_2024-01-26_20240430083443.pdf")</f>
        <v>MCRO_27-CR-21-21355_Notice of Hearing_2024-01-26_20240430083443.pdf</v>
      </c>
      <c r="F253" s="9" t="n">
        <v>45317</v>
      </c>
      <c r="G253" s="1" t="s">
        <v>166</v>
      </c>
      <c r="H253" s="3" t="s">
        <v>167</v>
      </c>
      <c r="I253" s="3" t="s">
        <v>168</v>
      </c>
      <c r="K253" s="10"/>
      <c r="N253" s="10"/>
    </row>
    <row r="254" customFormat="false" ht="18.7" hidden="false" customHeight="true" outlineLevel="0" collapsed="false">
      <c r="A254" s="1" t="n">
        <v>253</v>
      </c>
      <c r="B254" s="7" t="str">
        <f aca="false">HYPERLINK("https://mncourtfraud.com/file/GES-21.zip","GES-21.zip")</f>
        <v>GES-21.zip</v>
      </c>
      <c r="C254" s="8" t="str">
        <f aca="false">HYPERLINK("https://mncourtfraud.com/file/27-CR-21-23188.pdf","27-CR-21-23188")</f>
        <v>27-CR-21-23188</v>
      </c>
      <c r="D254" s="3" t="s">
        <v>88</v>
      </c>
      <c r="E254" s="8" t="str">
        <f aca="false">HYPERLINK("https://mncourtfraud.com/file/MCRO_27-CR-21-23188_Notice of Hearing_2024-01-26_20240430083735.pdf","MCRO_27-CR-21-23188_Notice of Hearing_2024-01-26_20240430083735.pdf")</f>
        <v>MCRO_27-CR-21-23188_Notice of Hearing_2024-01-26_20240430083735.pdf</v>
      </c>
      <c r="F254" s="9" t="n">
        <v>45317</v>
      </c>
      <c r="G254" s="1" t="s">
        <v>166</v>
      </c>
      <c r="H254" s="3" t="s">
        <v>167</v>
      </c>
      <c r="I254" s="3" t="s">
        <v>168</v>
      </c>
      <c r="K254" s="10"/>
      <c r="N254" s="10"/>
    </row>
    <row r="255" customFormat="false" ht="18.7" hidden="false" customHeight="true" outlineLevel="0" collapsed="false">
      <c r="A255" s="1" t="n">
        <v>254</v>
      </c>
      <c r="B255" s="7" t="str">
        <f aca="false">HYPERLINK("https://mncourtfraud.com/file/GES-21.zip","GES-21.zip")</f>
        <v>GES-21.zip</v>
      </c>
      <c r="C255" s="8" t="str">
        <f aca="false">HYPERLINK("https://mncourtfraud.com/file/27-CR-21-23215.pdf","27-CR-21-23215")</f>
        <v>27-CR-21-23215</v>
      </c>
      <c r="D255" s="3" t="s">
        <v>88</v>
      </c>
      <c r="E255" s="8" t="str">
        <f aca="false">HYPERLINK("https://mncourtfraud.com/file/MCRO_27-CR-21-23215_Notice of Hearing_2024-01-26_20240430084117.pdf","MCRO_27-CR-21-23215_Notice of Hearing_2024-01-26_20240430084117.pdf")</f>
        <v>MCRO_27-CR-21-23215_Notice of Hearing_2024-01-26_20240430084117.pdf</v>
      </c>
      <c r="F255" s="9" t="n">
        <v>45317</v>
      </c>
      <c r="G255" s="1" t="s">
        <v>166</v>
      </c>
      <c r="H255" s="3" t="s">
        <v>167</v>
      </c>
      <c r="I255" s="3" t="s">
        <v>168</v>
      </c>
      <c r="K255" s="10"/>
      <c r="N255" s="10"/>
    </row>
    <row r="256" customFormat="false" ht="18.7" hidden="false" customHeight="true" outlineLevel="0" collapsed="false">
      <c r="A256" s="1" t="n">
        <v>255</v>
      </c>
      <c r="B256" s="7" t="str">
        <f aca="false">HYPERLINK("https://mncourtfraud.com/file/GES-21.zip","GES-21.zip")</f>
        <v>GES-21.zip</v>
      </c>
      <c r="C256" s="8" t="str">
        <f aca="false">HYPERLINK("https://mncourtfraud.com/file/27-CR-22-22963.pdf","27-CR-22-22963")</f>
        <v>27-CR-22-22963</v>
      </c>
      <c r="D256" s="3" t="s">
        <v>88</v>
      </c>
      <c r="E256" s="8" t="str">
        <f aca="false">HYPERLINK("https://mncourtfraud.com/file/MCRO_27-CR-22-22963_Notice of Hearing_2024-01-26_20240429163933.pdf","MCRO_27-CR-22-22963_Notice of Hearing_2024-01-26_20240429163933.pdf")</f>
        <v>MCRO_27-CR-22-22963_Notice of Hearing_2024-01-26_20240429163933.pdf</v>
      </c>
      <c r="F256" s="9" t="n">
        <v>45317</v>
      </c>
      <c r="G256" s="1" t="s">
        <v>166</v>
      </c>
      <c r="H256" s="3" t="s">
        <v>167</v>
      </c>
      <c r="I256" s="3" t="s">
        <v>168</v>
      </c>
      <c r="K256" s="10"/>
      <c r="N256" s="10"/>
    </row>
    <row r="257" customFormat="false" ht="18.7" hidden="false" customHeight="true" outlineLevel="0" collapsed="false">
      <c r="A257" s="1" t="n">
        <v>256</v>
      </c>
      <c r="B257" s="7" t="str">
        <f aca="false">HYPERLINK("https://mncourtfraud.com/file/GES-21.zip","GES-21.zip")</f>
        <v>GES-21.zip</v>
      </c>
      <c r="C257" s="8" t="str">
        <f aca="false">HYPERLINK("https://mncourtfraud.com/file/27-CR-22-4087.pdf","27-CR-22-4087")</f>
        <v>27-CR-22-4087</v>
      </c>
      <c r="D257" s="3" t="s">
        <v>88</v>
      </c>
      <c r="E257" s="8" t="str">
        <f aca="false">HYPERLINK("https://mncourtfraud.com/file/MCRO_27-CR-22-4087_Notice of Hearing_2024-01-26_20240429035254.pdf","MCRO_27-CR-22-4087_Notice of Hearing_2024-01-26_20240429035254.pdf")</f>
        <v>MCRO_27-CR-22-4087_Notice of Hearing_2024-01-26_20240429035254.pdf</v>
      </c>
      <c r="F257" s="9" t="n">
        <v>45317</v>
      </c>
      <c r="G257" s="1" t="s">
        <v>166</v>
      </c>
      <c r="H257" s="3" t="s">
        <v>167</v>
      </c>
      <c r="I257" s="3" t="s">
        <v>168</v>
      </c>
      <c r="K257" s="10"/>
      <c r="N257" s="10"/>
    </row>
    <row r="258" customFormat="false" ht="18.7" hidden="false" customHeight="true" outlineLevel="0" collapsed="false">
      <c r="A258" s="1" t="n">
        <v>257</v>
      </c>
      <c r="B258" s="7" t="str">
        <f aca="false">HYPERLINK("https://mncourtfraud.com/file/GES-21.zip","GES-21.zip")</f>
        <v>GES-21.zip</v>
      </c>
      <c r="C258" s="8" t="str">
        <f aca="false">HYPERLINK("https://mncourtfraud.com/file/27-CR-23-16927.pdf","27-CR-23-16927")</f>
        <v>27-CR-23-16927</v>
      </c>
      <c r="D258" s="3" t="s">
        <v>88</v>
      </c>
      <c r="E258" s="8" t="str">
        <f aca="false">HYPERLINK("https://mncourtfraud.com/file/MCRO_27-CR-23-16927_Notice of Hearing_2024-01-26_20240430074529.pdf","MCRO_27-CR-23-16927_Notice of Hearing_2024-01-26_20240430074529.pdf")</f>
        <v>MCRO_27-CR-23-16927_Notice of Hearing_2024-01-26_20240430074529.pdf</v>
      </c>
      <c r="F258" s="9" t="n">
        <v>45317</v>
      </c>
      <c r="G258" s="1" t="s">
        <v>166</v>
      </c>
      <c r="H258" s="3" t="s">
        <v>167</v>
      </c>
      <c r="I258" s="3" t="s">
        <v>168</v>
      </c>
      <c r="K258" s="10"/>
      <c r="N258" s="10"/>
    </row>
    <row r="259" customFormat="false" ht="18.7" hidden="false" customHeight="true" outlineLevel="0" collapsed="false">
      <c r="A259" s="1" t="n">
        <v>258</v>
      </c>
      <c r="F259" s="9"/>
      <c r="K259" s="10"/>
      <c r="N259" s="10"/>
    </row>
    <row r="260" customFormat="false" ht="18.7" hidden="false" customHeight="true" outlineLevel="0" collapsed="false">
      <c r="A260" s="1" t="n">
        <v>259</v>
      </c>
      <c r="B260" s="7" t="str">
        <f aca="false">HYPERLINK("https://mncourtfraud.com/file/GES-22.zip","GES-22.zip")</f>
        <v>GES-22.zip</v>
      </c>
      <c r="C260" s="8" t="str">
        <f aca="false">HYPERLINK("https://mncourtfraud.com/file/27-CR-21-1980.pdf","27-CR-21-1980")</f>
        <v>27-CR-21-1980</v>
      </c>
      <c r="D260" s="3" t="s">
        <v>85</v>
      </c>
      <c r="E260" s="8" t="str">
        <f aca="false">HYPERLINK("https://mncourtfraud.com/file/MCRO_27-CR-21-1980_Notice of Hearing_2024-03-19_20240430075949.pdf","MCRO_27-CR-21-1980_Notice of Hearing_2024-03-19_20240430075949.pdf")</f>
        <v>MCRO_27-CR-21-1980_Notice of Hearing_2024-03-19_20240430075949.pdf</v>
      </c>
      <c r="F260" s="9" t="n">
        <v>45370</v>
      </c>
      <c r="G260" s="1" t="s">
        <v>169</v>
      </c>
      <c r="H260" s="3" t="s">
        <v>170</v>
      </c>
      <c r="I260" s="3" t="s">
        <v>171</v>
      </c>
      <c r="K260" s="10"/>
      <c r="N260" s="10"/>
    </row>
    <row r="261" customFormat="false" ht="18.7" hidden="false" customHeight="true" outlineLevel="0" collapsed="false">
      <c r="A261" s="1" t="n">
        <v>260</v>
      </c>
      <c r="B261" s="7" t="str">
        <f aca="false">HYPERLINK("https://mncourtfraud.com/file/GES-22.zip","GES-22.zip")</f>
        <v>GES-22.zip</v>
      </c>
      <c r="C261" s="8" t="str">
        <f aca="false">HYPERLINK("https://mncourtfraud.com/file/27-CR-21-20072.pdf","27-CR-21-20072")</f>
        <v>27-CR-21-20072</v>
      </c>
      <c r="D261" s="3" t="s">
        <v>85</v>
      </c>
      <c r="E261" s="8" t="str">
        <f aca="false">HYPERLINK("https://mncourtfraud.com/file/MCRO_27-CR-21-20072_Notice of Hearing_2024-03-19_20240430083041.pdf","MCRO_27-CR-21-20072_Notice of Hearing_2024-03-19_20240430083041.pdf")</f>
        <v>MCRO_27-CR-21-20072_Notice of Hearing_2024-03-19_20240430083041.pdf</v>
      </c>
      <c r="F261" s="9" t="n">
        <v>45370</v>
      </c>
      <c r="G261" s="1" t="s">
        <v>169</v>
      </c>
      <c r="H261" s="3" t="s">
        <v>170</v>
      </c>
      <c r="I261" s="3" t="s">
        <v>171</v>
      </c>
      <c r="K261" s="10"/>
      <c r="N261" s="10"/>
    </row>
    <row r="262" customFormat="false" ht="18.7" hidden="false" customHeight="true" outlineLevel="0" collapsed="false">
      <c r="A262" s="1" t="n">
        <v>261</v>
      </c>
      <c r="B262" s="7" t="str">
        <f aca="false">HYPERLINK("https://mncourtfraud.com/file/GES-22.zip","GES-22.zip")</f>
        <v>GES-22.zip</v>
      </c>
      <c r="C262" s="8" t="str">
        <f aca="false">HYPERLINK("https://mncourtfraud.com/file/27-CR-21-20988.pdf","27-CR-21-20988")</f>
        <v>27-CR-21-20988</v>
      </c>
      <c r="D262" s="3" t="s">
        <v>88</v>
      </c>
      <c r="E262" s="8" t="str">
        <f aca="false">HYPERLINK("https://mncourtfraud.com/file/MCRO_27-CR-21-20988_Notice of Hearing_2024-03-19_20240430083335.pdf","MCRO_27-CR-21-20988_Notice of Hearing_2024-03-19_20240430083335.pdf")</f>
        <v>MCRO_27-CR-21-20988_Notice of Hearing_2024-03-19_20240430083335.pdf</v>
      </c>
      <c r="F262" s="9" t="n">
        <v>45370</v>
      </c>
      <c r="G262" s="1" t="s">
        <v>169</v>
      </c>
      <c r="H262" s="3" t="s">
        <v>170</v>
      </c>
      <c r="I262" s="3" t="s">
        <v>171</v>
      </c>
      <c r="K262" s="10"/>
      <c r="N262" s="10"/>
    </row>
    <row r="263" customFormat="false" ht="18.7" hidden="false" customHeight="true" outlineLevel="0" collapsed="false">
      <c r="A263" s="1" t="n">
        <v>262</v>
      </c>
      <c r="B263" s="7" t="str">
        <f aca="false">HYPERLINK("https://mncourtfraud.com/file/GES-22.zip","GES-22.zip")</f>
        <v>GES-22.zip</v>
      </c>
      <c r="C263" s="8" t="str">
        <f aca="false">HYPERLINK("https://mncourtfraud.com/file/27-CR-21-21355.pdf","27-CR-21-21355")</f>
        <v>27-CR-21-21355</v>
      </c>
      <c r="D263" s="3" t="s">
        <v>88</v>
      </c>
      <c r="E263" s="8" t="str">
        <f aca="false">HYPERLINK("https://mncourtfraud.com/file/MCRO_27-CR-21-21355_Notice of Hearing_2024-03-19_20240430083442.pdf","MCRO_27-CR-21-21355_Notice of Hearing_2024-03-19_20240430083442.pdf")</f>
        <v>MCRO_27-CR-21-21355_Notice of Hearing_2024-03-19_20240430083442.pdf</v>
      </c>
      <c r="F263" s="9" t="n">
        <v>45370</v>
      </c>
      <c r="G263" s="1" t="s">
        <v>169</v>
      </c>
      <c r="H263" s="3" t="s">
        <v>170</v>
      </c>
      <c r="I263" s="3" t="s">
        <v>171</v>
      </c>
      <c r="K263" s="10"/>
      <c r="N263" s="10"/>
    </row>
    <row r="264" customFormat="false" ht="18.7" hidden="false" customHeight="true" outlineLevel="0" collapsed="false">
      <c r="A264" s="1" t="n">
        <v>263</v>
      </c>
      <c r="B264" s="7" t="str">
        <f aca="false">HYPERLINK("https://mncourtfraud.com/file/GES-22.zip","GES-22.zip")</f>
        <v>GES-22.zip</v>
      </c>
      <c r="C264" s="8" t="str">
        <f aca="false">HYPERLINK("https://mncourtfraud.com/file/27-CR-21-23188.pdf","27-CR-21-23188")</f>
        <v>27-CR-21-23188</v>
      </c>
      <c r="D264" s="3" t="s">
        <v>88</v>
      </c>
      <c r="E264" s="8" t="str">
        <f aca="false">HYPERLINK("https://mncourtfraud.com/file/MCRO_27-CR-21-23188_Notice of Hearing_2024-03-19_20240430083733.pdf","MCRO_27-CR-21-23188_Notice of Hearing_2024-03-19_20240430083733.pdf")</f>
        <v>MCRO_27-CR-21-23188_Notice of Hearing_2024-03-19_20240430083733.pdf</v>
      </c>
      <c r="F264" s="9" t="n">
        <v>45370</v>
      </c>
      <c r="G264" s="1" t="s">
        <v>169</v>
      </c>
      <c r="H264" s="3" t="s">
        <v>170</v>
      </c>
      <c r="I264" s="3" t="s">
        <v>171</v>
      </c>
      <c r="K264" s="10"/>
      <c r="N264" s="10"/>
    </row>
    <row r="265" customFormat="false" ht="18.7" hidden="false" customHeight="true" outlineLevel="0" collapsed="false">
      <c r="A265" s="1" t="n">
        <v>264</v>
      </c>
      <c r="B265" s="7" t="str">
        <f aca="false">HYPERLINK("https://mncourtfraud.com/file/GES-22.zip","GES-22.zip")</f>
        <v>GES-22.zip</v>
      </c>
      <c r="C265" s="8" t="str">
        <f aca="false">HYPERLINK("https://mncourtfraud.com/file/27-CR-21-23215.pdf","27-CR-21-23215")</f>
        <v>27-CR-21-23215</v>
      </c>
      <c r="D265" s="3" t="s">
        <v>88</v>
      </c>
      <c r="E265" s="8" t="str">
        <f aca="false">HYPERLINK("https://mncourtfraud.com/file/MCRO_27-CR-21-23215_Notice of Hearing_2024-03-19_20240430084116.pdf","MCRO_27-CR-21-23215_Notice of Hearing_2024-03-19_20240430084116.pdf")</f>
        <v>MCRO_27-CR-21-23215_Notice of Hearing_2024-03-19_20240430084116.pdf</v>
      </c>
      <c r="F265" s="9" t="n">
        <v>45370</v>
      </c>
      <c r="G265" s="1" t="s">
        <v>169</v>
      </c>
      <c r="H265" s="3" t="s">
        <v>170</v>
      </c>
      <c r="I265" s="3" t="s">
        <v>171</v>
      </c>
      <c r="K265" s="10"/>
      <c r="N265" s="10"/>
    </row>
    <row r="266" customFormat="false" ht="18.7" hidden="false" customHeight="true" outlineLevel="0" collapsed="false">
      <c r="A266" s="1" t="n">
        <v>265</v>
      </c>
      <c r="B266" s="7" t="str">
        <f aca="false">HYPERLINK("https://mncourtfraud.com/file/GES-22.zip","GES-22.zip")</f>
        <v>GES-22.zip</v>
      </c>
      <c r="C266" s="8" t="str">
        <f aca="false">HYPERLINK("https://mncourtfraud.com/file/27-CR-22-22963.pdf","27-CR-22-22963")</f>
        <v>27-CR-22-22963</v>
      </c>
      <c r="D266" s="3" t="s">
        <v>88</v>
      </c>
      <c r="E266" s="8" t="str">
        <f aca="false">HYPERLINK("https://mncourtfraud.com/file/MCRO_27-CR-22-22963_Notice of Hearing_2024-03-19_20240429163934.pdf","MCRO_27-CR-22-22963_Notice of Hearing_2024-03-19_20240429163934.pdf")</f>
        <v>MCRO_27-CR-22-22963_Notice of Hearing_2024-03-19_20240429163934.pdf</v>
      </c>
      <c r="F266" s="9" t="n">
        <v>45370</v>
      </c>
      <c r="G266" s="1" t="s">
        <v>169</v>
      </c>
      <c r="H266" s="3" t="s">
        <v>170</v>
      </c>
      <c r="I266" s="3" t="s">
        <v>171</v>
      </c>
      <c r="K266" s="10"/>
      <c r="N266" s="10"/>
    </row>
    <row r="267" customFormat="false" ht="18.7" hidden="false" customHeight="true" outlineLevel="0" collapsed="false">
      <c r="A267" s="1" t="n">
        <v>266</v>
      </c>
      <c r="B267" s="7" t="str">
        <f aca="false">HYPERLINK("https://mncourtfraud.com/file/GES-22.zip","GES-22.zip")</f>
        <v>GES-22.zip</v>
      </c>
      <c r="C267" s="8" t="str">
        <f aca="false">HYPERLINK("https://mncourtfraud.com/file/27-CR-22-4087.pdf","27-CR-22-4087")</f>
        <v>27-CR-22-4087</v>
      </c>
      <c r="D267" s="3" t="s">
        <v>88</v>
      </c>
      <c r="E267" s="8" t="str">
        <f aca="false">HYPERLINK("https://mncourtfraud.com/file/MCRO_27-CR-22-4087_Notice of Hearing_2024-03-19_20240429035252.pdf","MCRO_27-CR-22-4087_Notice of Hearing_2024-03-19_20240429035252.pdf")</f>
        <v>MCRO_27-CR-22-4087_Notice of Hearing_2024-03-19_20240429035252.pdf</v>
      </c>
      <c r="F267" s="9" t="n">
        <v>45370</v>
      </c>
      <c r="G267" s="1" t="s">
        <v>169</v>
      </c>
      <c r="H267" s="3" t="s">
        <v>170</v>
      </c>
      <c r="I267" s="3" t="s">
        <v>171</v>
      </c>
      <c r="K267" s="10"/>
      <c r="N267" s="10"/>
    </row>
    <row r="268" customFormat="false" ht="18.7" hidden="false" customHeight="true" outlineLevel="0" collapsed="false">
      <c r="A268" s="1" t="n">
        <v>267</v>
      </c>
      <c r="B268" s="7" t="str">
        <f aca="false">HYPERLINK("https://mncourtfraud.com/file/GES-22.zip","GES-22.zip")</f>
        <v>GES-22.zip</v>
      </c>
      <c r="C268" s="8" t="str">
        <f aca="false">HYPERLINK("https://mncourtfraud.com/file/27-CR-23-16927.pdf","27-CR-23-16927")</f>
        <v>27-CR-23-16927</v>
      </c>
      <c r="D268" s="3" t="s">
        <v>88</v>
      </c>
      <c r="E268" s="8" t="str">
        <f aca="false">HYPERLINK("https://mncourtfraud.com/file/MCRO_27-CR-23-16927_Notice of Hearing_2024-03-19_20240430074528.pdf","MCRO_27-CR-23-16927_Notice of Hearing_2024-03-19_20240430074528.pdf")</f>
        <v>MCRO_27-CR-23-16927_Notice of Hearing_2024-03-19_20240430074528.pdf</v>
      </c>
      <c r="F268" s="9" t="n">
        <v>45370</v>
      </c>
      <c r="G268" s="1" t="s">
        <v>169</v>
      </c>
      <c r="H268" s="3" t="s">
        <v>170</v>
      </c>
      <c r="I268" s="3" t="s">
        <v>171</v>
      </c>
      <c r="K268" s="10"/>
      <c r="N268" s="10"/>
    </row>
    <row r="269" customFormat="false" ht="18.7" hidden="false" customHeight="true" outlineLevel="0" collapsed="false">
      <c r="A269" s="1" t="n">
        <v>268</v>
      </c>
      <c r="K269" s="10"/>
      <c r="N269" s="10"/>
    </row>
    <row r="270" customFormat="false" ht="18.7" hidden="false" customHeight="true" outlineLevel="0" collapsed="false">
      <c r="A270" s="1" t="n">
        <v>269</v>
      </c>
      <c r="K270" s="10"/>
      <c r="N270" s="10"/>
    </row>
    <row r="271" customFormat="false" ht="18.7" hidden="false" customHeight="true" outlineLevel="0" collapsed="false">
      <c r="A271" s="1" t="n">
        <v>270</v>
      </c>
      <c r="B271" s="7" t="str">
        <f aca="false">HYPERLINK("https://mncourtfraud.com/file/AMW-1.zip","AMW-1.zip")</f>
        <v>AMW-1.zip</v>
      </c>
      <c r="C271" s="8" t="str">
        <f aca="false">HYPERLINK("https://mncourtfraud.com/file/27-CR-17-1555.pdf","27-CR-17-1555")</f>
        <v>27-CR-17-1555</v>
      </c>
      <c r="D271" s="3" t="s">
        <v>172</v>
      </c>
      <c r="E271" s="8" t="str">
        <f aca="false">HYPERLINK("https://mncourtfraud.com/file/MCRO_27-CR-17-1555_Order to Transport_2018-03-26_20240430093558.pdf","MCRO_27-CR-17-1555_Order to Transport_2018-03-26_20240430093558.pdf")</f>
        <v>MCRO_27-CR-17-1555_Order to Transport_2018-03-26_20240430093558.pdf</v>
      </c>
      <c r="F271" s="9" t="n">
        <v>43185</v>
      </c>
      <c r="G271" s="1" t="s">
        <v>173</v>
      </c>
      <c r="H271" s="3" t="s">
        <v>174</v>
      </c>
      <c r="I271" s="3" t="s">
        <v>175</v>
      </c>
      <c r="K271" s="10"/>
      <c r="N271" s="10"/>
    </row>
    <row r="272" customFormat="false" ht="18.7" hidden="false" customHeight="true" outlineLevel="0" collapsed="false">
      <c r="A272" s="1" t="n">
        <v>271</v>
      </c>
      <c r="B272" s="7" t="str">
        <f aca="false">HYPERLINK("https://mncourtfraud.com/file/AMW-1.zip","AMW-1.zip")</f>
        <v>AMW-1.zip</v>
      </c>
      <c r="C272" s="8" t="str">
        <f aca="false">HYPERLINK("https://mncourtfraud.com/file/27-CR-17-22909.pdf","27-CR-17-22909")</f>
        <v>27-CR-17-22909</v>
      </c>
      <c r="D272" s="3" t="s">
        <v>172</v>
      </c>
      <c r="E272" s="8" t="str">
        <f aca="false">HYPERLINK("https://mncourtfraud.com/file/MCRO_27-CR-17-22909_Order to Transport_2018-03-26_20240430093734.pdf","MCRO_27-CR-17-22909_Order to Transport_2018-03-26_20240430093734.pdf")</f>
        <v>MCRO_27-CR-17-22909_Order to Transport_2018-03-26_20240430093734.pdf</v>
      </c>
      <c r="F272" s="9" t="n">
        <v>43185</v>
      </c>
      <c r="G272" s="1" t="s">
        <v>173</v>
      </c>
      <c r="H272" s="3" t="s">
        <v>174</v>
      </c>
      <c r="I272" s="3" t="s">
        <v>176</v>
      </c>
      <c r="K272" s="10"/>
      <c r="N272" s="10"/>
    </row>
    <row r="273" customFormat="false" ht="18.7" hidden="false" customHeight="true" outlineLevel="0" collapsed="false">
      <c r="A273" s="1" t="n">
        <v>272</v>
      </c>
      <c r="B273" s="7" t="str">
        <f aca="false">HYPERLINK("https://mncourtfraud.com/file/AMW-1.zip","AMW-1.zip")</f>
        <v>AMW-1.zip</v>
      </c>
      <c r="C273" s="8" t="str">
        <f aca="false">HYPERLINK("https://mncourtfraud.com/file/27-CR-17-8342.pdf","27-CR-17-8342")</f>
        <v>27-CR-17-8342</v>
      </c>
      <c r="D273" s="3" t="s">
        <v>172</v>
      </c>
      <c r="E273" s="8" t="str">
        <f aca="false">HYPERLINK("https://mncourtfraud.com/file/MCRO_27-CR-17-8342_Order to Transport_2018-03-26_20240430093654.pdf","MCRO_27-CR-17-8342_Order to Transport_2018-03-26_20240430093654.pdf")</f>
        <v>MCRO_27-CR-17-8342_Order to Transport_2018-03-26_20240430093654.pdf</v>
      </c>
      <c r="F273" s="9" t="n">
        <v>43185</v>
      </c>
      <c r="G273" s="1" t="s">
        <v>173</v>
      </c>
      <c r="H273" s="3" t="s">
        <v>174</v>
      </c>
      <c r="I273" s="3" t="s">
        <v>177</v>
      </c>
      <c r="K273" s="10"/>
      <c r="N273" s="10"/>
    </row>
    <row r="274" customFormat="false" ht="18.7" hidden="false" customHeight="true" outlineLevel="0" collapsed="false">
      <c r="A274" s="1" t="n">
        <v>273</v>
      </c>
      <c r="F274" s="9"/>
      <c r="K274" s="10"/>
      <c r="N274" s="10"/>
    </row>
    <row r="275" customFormat="false" ht="18.7" hidden="false" customHeight="true" outlineLevel="0" collapsed="false">
      <c r="A275" s="1" t="n">
        <v>274</v>
      </c>
      <c r="B275" s="7" t="str">
        <f aca="false">HYPERLINK("https://mncourtfraud.com/file/AMW-2.zip","AMW-2.zip")</f>
        <v>AMW-2.zip</v>
      </c>
      <c r="C275" s="8" t="str">
        <f aca="false">HYPERLINK("https://mncourtfraud.com/file/27-CR-17-1555.pdf","27-CR-17-1555")</f>
        <v>27-CR-17-1555</v>
      </c>
      <c r="D275" s="3" t="s">
        <v>172</v>
      </c>
      <c r="E275" s="8" t="str">
        <f aca="false">HYPERLINK("https://mncourtfraud.com/file/MCRO_27-CR-17-1555_Order to Transport_2018-10-23_20240430093557.pdf","MCRO_27-CR-17-1555_Order to Transport_2018-10-23_20240430093557.pdf")</f>
        <v>MCRO_27-CR-17-1555_Order to Transport_2018-10-23_20240430093557.pdf</v>
      </c>
      <c r="F275" s="9" t="n">
        <v>43396</v>
      </c>
      <c r="G275" s="1" t="s">
        <v>178</v>
      </c>
      <c r="H275" s="3" t="s">
        <v>179</v>
      </c>
      <c r="I275" s="3" t="s">
        <v>180</v>
      </c>
      <c r="K275" s="10"/>
      <c r="N275" s="10"/>
    </row>
    <row r="276" customFormat="false" ht="18.7" hidden="false" customHeight="true" outlineLevel="0" collapsed="false">
      <c r="A276" s="1" t="n">
        <v>275</v>
      </c>
      <c r="B276" s="7" t="str">
        <f aca="false">HYPERLINK("https://mncourtfraud.com/file/AMW-2.zip","AMW-2.zip")</f>
        <v>AMW-2.zip</v>
      </c>
      <c r="C276" s="8" t="str">
        <f aca="false">HYPERLINK("https://mncourtfraud.com/file/27-CR-17-22909.pdf","27-CR-17-22909")</f>
        <v>27-CR-17-22909</v>
      </c>
      <c r="D276" s="3" t="s">
        <v>172</v>
      </c>
      <c r="E276" s="8" t="str">
        <f aca="false">HYPERLINK("https://mncourtfraud.com/file/MCRO_27-CR-17-22909_Order to Transport_2018-10-23_20240430093733.pdf","MCRO_27-CR-17-22909_Order to Transport_2018-10-23_20240430093733.pdf")</f>
        <v>MCRO_27-CR-17-22909_Order to Transport_2018-10-23_20240430093733.pdf</v>
      </c>
      <c r="F276" s="9" t="n">
        <v>43396</v>
      </c>
      <c r="G276" s="1" t="s">
        <v>178</v>
      </c>
      <c r="H276" s="3" t="s">
        <v>179</v>
      </c>
      <c r="I276" s="3" t="s">
        <v>181</v>
      </c>
      <c r="K276" s="10"/>
      <c r="N276" s="10"/>
    </row>
    <row r="277" customFormat="false" ht="18.7" hidden="false" customHeight="true" outlineLevel="0" collapsed="false">
      <c r="A277" s="1" t="n">
        <v>276</v>
      </c>
      <c r="B277" s="7" t="str">
        <f aca="false">HYPERLINK("https://mncourtfraud.com/file/AMW-2.zip","AMW-2.zip")</f>
        <v>AMW-2.zip</v>
      </c>
      <c r="C277" s="8" t="str">
        <f aca="false">HYPERLINK("https://mncourtfraud.com/file/27-CR-17-8342.pdf","27-CR-17-8342")</f>
        <v>27-CR-17-8342</v>
      </c>
      <c r="D277" s="3" t="s">
        <v>172</v>
      </c>
      <c r="E277" s="8" t="str">
        <f aca="false">HYPERLINK("https://mncourtfraud.com/file/MCRO_27-CR-17-8342_Order to Transport_2018-10-23_20240430093652.pdf","MCRO_27-CR-17-8342_Order to Transport_2018-10-23_20240430093652.pdf")</f>
        <v>MCRO_27-CR-17-8342_Order to Transport_2018-10-23_20240430093652.pdf</v>
      </c>
      <c r="F277" s="9" t="n">
        <v>43396</v>
      </c>
      <c r="G277" s="1" t="s">
        <v>178</v>
      </c>
      <c r="H277" s="3" t="s">
        <v>179</v>
      </c>
      <c r="I277" s="3" t="s">
        <v>182</v>
      </c>
      <c r="K277" s="10"/>
      <c r="N277" s="10"/>
    </row>
    <row r="278" customFormat="false" ht="18.7" hidden="false" customHeight="true" outlineLevel="0" collapsed="false">
      <c r="A278" s="1" t="n">
        <v>277</v>
      </c>
      <c r="F278" s="9"/>
      <c r="K278" s="10"/>
      <c r="N278" s="10"/>
    </row>
    <row r="279" customFormat="false" ht="18.7" hidden="false" customHeight="true" outlineLevel="0" collapsed="false">
      <c r="A279" s="1" t="n">
        <v>278</v>
      </c>
      <c r="B279" s="7" t="str">
        <f aca="false">HYPERLINK("https://mncourtfraud.com/file/AMW-3.zip","AMW-3.zip")</f>
        <v>AMW-3.zip</v>
      </c>
      <c r="C279" s="8" t="str">
        <f aca="false">HYPERLINK("https://mncourtfraud.com/file/27-CR-17-1555.pdf","27-CR-17-1555")</f>
        <v>27-CR-17-1555</v>
      </c>
      <c r="D279" s="3" t="s">
        <v>172</v>
      </c>
      <c r="E279" s="8" t="str">
        <f aca="false">HYPERLINK("https://mncourtfraud.com/file/MCRO_27-CR-17-1555_Order to Transport_2019-03-13_20240430093556.pdf","MCRO_27-CR-17-1555_Order to Transport_2019-03-13_20240430093556.pdf")</f>
        <v>MCRO_27-CR-17-1555_Order to Transport_2019-03-13_20240430093556.pdf</v>
      </c>
      <c r="F279" s="9" t="n">
        <v>43537</v>
      </c>
      <c r="G279" s="1" t="s">
        <v>183</v>
      </c>
      <c r="H279" s="3" t="s">
        <v>184</v>
      </c>
      <c r="I279" s="3" t="s">
        <v>185</v>
      </c>
      <c r="K279" s="10"/>
      <c r="N279" s="10"/>
    </row>
    <row r="280" customFormat="false" ht="18.7" hidden="false" customHeight="true" outlineLevel="0" collapsed="false">
      <c r="A280" s="1" t="n">
        <v>279</v>
      </c>
      <c r="B280" s="7" t="str">
        <f aca="false">HYPERLINK("https://mncourtfraud.com/file/AMW-3.zip","AMW-3.zip")</f>
        <v>AMW-3.zip</v>
      </c>
      <c r="C280" s="8" t="str">
        <f aca="false">HYPERLINK("https://mncourtfraud.com/file/27-CR-17-22909.pdf","27-CR-17-22909")</f>
        <v>27-CR-17-22909</v>
      </c>
      <c r="D280" s="3" t="s">
        <v>172</v>
      </c>
      <c r="E280" s="8" t="str">
        <f aca="false">HYPERLINK("https://mncourtfraud.com/file/MCRO_27-CR-17-22909_Order to Transport_2019-03-13_20240430093732.pdf","MCRO_27-CR-17-22909_Order to Transport_2019-03-13_20240430093732.pdf")</f>
        <v>MCRO_27-CR-17-22909_Order to Transport_2019-03-13_20240430093732.pdf</v>
      </c>
      <c r="F280" s="9" t="n">
        <v>43537</v>
      </c>
      <c r="G280" s="1" t="s">
        <v>183</v>
      </c>
      <c r="H280" s="3" t="s">
        <v>184</v>
      </c>
      <c r="I280" s="3" t="s">
        <v>186</v>
      </c>
      <c r="K280" s="10"/>
      <c r="N280" s="10"/>
    </row>
    <row r="281" customFormat="false" ht="18.7" hidden="false" customHeight="true" outlineLevel="0" collapsed="false">
      <c r="A281" s="1" t="n">
        <v>280</v>
      </c>
      <c r="B281" s="7" t="str">
        <f aca="false">HYPERLINK("https://mncourtfraud.com/file/AMW-3.zip","AMW-3.zip")</f>
        <v>AMW-3.zip</v>
      </c>
      <c r="C281" s="8" t="str">
        <f aca="false">HYPERLINK("https://mncourtfraud.com/file/27-CR-17-8342.pdf","27-CR-17-8342")</f>
        <v>27-CR-17-8342</v>
      </c>
      <c r="D281" s="3" t="s">
        <v>172</v>
      </c>
      <c r="E281" s="8" t="str">
        <f aca="false">HYPERLINK("https://mncourtfraud.com/file/MCRO_27-CR-17-8342_Order to Transport_2019-03-13_20240430093651.pdf","MCRO_27-CR-17-8342_Order to Transport_2019-03-13_20240430093651.pdf")</f>
        <v>MCRO_27-CR-17-8342_Order to Transport_2019-03-13_20240430093651.pdf</v>
      </c>
      <c r="F281" s="9" t="n">
        <v>43537</v>
      </c>
      <c r="G281" s="1" t="s">
        <v>183</v>
      </c>
      <c r="H281" s="3" t="s">
        <v>184</v>
      </c>
      <c r="I281" s="3" t="s">
        <v>187</v>
      </c>
      <c r="K281" s="10"/>
      <c r="N281" s="10"/>
    </row>
    <row r="282" customFormat="false" ht="18.7" hidden="false" customHeight="true" outlineLevel="0" collapsed="false">
      <c r="A282" s="1" t="n">
        <v>281</v>
      </c>
      <c r="F282" s="9"/>
      <c r="K282" s="10"/>
      <c r="N282" s="10"/>
    </row>
    <row r="283" customFormat="false" ht="18.7" hidden="false" customHeight="true" outlineLevel="0" collapsed="false">
      <c r="A283" s="1" t="n">
        <v>282</v>
      </c>
      <c r="B283" s="7" t="str">
        <f aca="false">HYPERLINK("https://mncourtfraud.com/file/AMW-4.zip","AMW-4.zip")</f>
        <v>AMW-4.zip</v>
      </c>
      <c r="C283" s="8" t="str">
        <f aca="false">HYPERLINK("https://mncourtfraud.com/file/27-CR-17-1555.pdf","27-CR-17-1555")</f>
        <v>27-CR-17-1555</v>
      </c>
      <c r="D283" s="3" t="s">
        <v>172</v>
      </c>
      <c r="E283" s="8" t="str">
        <f aca="false">HYPERLINK("https://mncourtfraud.com/file/MCRO_27-CR-17-1555_Order to Transport_2019-10-02_20240430093555.pdf","MCRO_27-CR-17-1555_Order to Transport_2019-10-02_20240430093555.pdf")</f>
        <v>MCRO_27-CR-17-1555_Order to Transport_2019-10-02_20240430093555.pdf</v>
      </c>
      <c r="F283" s="9" t="n">
        <v>43740</v>
      </c>
      <c r="G283" s="1" t="s">
        <v>188</v>
      </c>
      <c r="H283" s="3" t="s">
        <v>189</v>
      </c>
      <c r="I283" s="3" t="s">
        <v>190</v>
      </c>
      <c r="K283" s="10"/>
      <c r="N283" s="10"/>
    </row>
    <row r="284" customFormat="false" ht="18.7" hidden="false" customHeight="true" outlineLevel="0" collapsed="false">
      <c r="A284" s="1" t="n">
        <v>283</v>
      </c>
      <c r="B284" s="7" t="str">
        <f aca="false">HYPERLINK("https://mncourtfraud.com/file/AMW-4.zip","AMW-4.zip")</f>
        <v>AMW-4.zip</v>
      </c>
      <c r="C284" s="8" t="str">
        <f aca="false">HYPERLINK("https://mncourtfraud.com/file/27-CR-17-22909.pdf","27-CR-17-22909")</f>
        <v>27-CR-17-22909</v>
      </c>
      <c r="D284" s="3" t="s">
        <v>172</v>
      </c>
      <c r="E284" s="8" t="str">
        <f aca="false">HYPERLINK("https://mncourtfraud.com/file/MCRO_27-CR-17-22909_Order to Transport_2019-10-02_20240430093731.pdf","MCRO_27-CR-17-22909_Order to Transport_2019-10-02_20240430093731.pdf")</f>
        <v>MCRO_27-CR-17-22909_Order to Transport_2019-10-02_20240430093731.pdf</v>
      </c>
      <c r="F284" s="9" t="n">
        <v>43740</v>
      </c>
      <c r="G284" s="1" t="s">
        <v>188</v>
      </c>
      <c r="H284" s="3" t="s">
        <v>189</v>
      </c>
      <c r="I284" s="3" t="s">
        <v>191</v>
      </c>
      <c r="K284" s="10"/>
      <c r="N284" s="10"/>
    </row>
    <row r="285" customFormat="false" ht="18.7" hidden="false" customHeight="true" outlineLevel="0" collapsed="false">
      <c r="A285" s="1" t="n">
        <v>284</v>
      </c>
      <c r="B285" s="7" t="str">
        <f aca="false">HYPERLINK("https://mncourtfraud.com/file/AMW-4.zip","AMW-4.zip")</f>
        <v>AMW-4.zip</v>
      </c>
      <c r="C285" s="8" t="str">
        <f aca="false">HYPERLINK("https://mncourtfraud.com/file/27-CR-17-8342.pdf","27-CR-17-8342")</f>
        <v>27-CR-17-8342</v>
      </c>
      <c r="D285" s="3" t="s">
        <v>172</v>
      </c>
      <c r="E285" s="8" t="str">
        <f aca="false">HYPERLINK("https://mncourtfraud.com/file/MCRO_27-CR-17-8342_Order to Transport_2019-10-02_20240430093650.pdf","MCRO_27-CR-17-8342_Order to Transport_2019-10-02_20240430093650.pdf")</f>
        <v>MCRO_27-CR-17-8342_Order to Transport_2019-10-02_20240430093650.pdf</v>
      </c>
      <c r="F285" s="9" t="n">
        <v>43740</v>
      </c>
      <c r="G285" s="1" t="s">
        <v>188</v>
      </c>
      <c r="H285" s="3" t="s">
        <v>189</v>
      </c>
      <c r="I285" s="3" t="s">
        <v>192</v>
      </c>
      <c r="K285" s="10"/>
      <c r="N285" s="10"/>
    </row>
    <row r="286" customFormat="false" ht="18.7" hidden="false" customHeight="true" outlineLevel="0" collapsed="false">
      <c r="A286" s="1" t="n">
        <v>285</v>
      </c>
      <c r="F286" s="9"/>
      <c r="K286" s="10"/>
      <c r="N286" s="10"/>
    </row>
    <row r="287" customFormat="false" ht="18.7" hidden="false" customHeight="true" outlineLevel="0" collapsed="false">
      <c r="A287" s="1" t="n">
        <v>286</v>
      </c>
      <c r="B287" s="7" t="str">
        <f aca="false">HYPERLINK("https://mncourtfraud.com/file/AMW-5.zip","AMW-5.zip")</f>
        <v>AMW-5.zip</v>
      </c>
      <c r="C287" s="8" t="str">
        <f aca="false">HYPERLINK("https://mncourtfraud.com/file/27-CR-17-1555.pdf","27-CR-17-1555")</f>
        <v>27-CR-17-1555</v>
      </c>
      <c r="D287" s="3" t="s">
        <v>172</v>
      </c>
      <c r="E287" s="8" t="str">
        <f aca="false">HYPERLINK("https://mncourtfraud.com/file/MCRO_27-CR-17-1555_Proposed Order or Document_2020-01-23_20240430093553.pdf","MCRO_27-CR-17-1555_Proposed Order or Document_2020-01-23_20240430093553.pdf")</f>
        <v>MCRO_27-CR-17-1555_Proposed Order or Document_2020-01-23_20240430093553.pdf</v>
      </c>
      <c r="F287" s="9" t="n">
        <v>43853</v>
      </c>
      <c r="G287" s="1" t="s">
        <v>193</v>
      </c>
      <c r="H287" s="3" t="s">
        <v>194</v>
      </c>
      <c r="I287" s="3" t="s">
        <v>195</v>
      </c>
      <c r="K287" s="10"/>
      <c r="N287" s="10"/>
    </row>
    <row r="288" customFormat="false" ht="18.7" hidden="false" customHeight="true" outlineLevel="0" collapsed="false">
      <c r="A288" s="1" t="n">
        <v>287</v>
      </c>
      <c r="B288" s="7" t="str">
        <f aca="false">HYPERLINK("https://mncourtfraud.com/file/AMW-5.zip","AMW-5.zip")</f>
        <v>AMW-5.zip</v>
      </c>
      <c r="C288" s="8" t="str">
        <f aca="false">HYPERLINK("https://mncourtfraud.com/file/27-CR-17-22909.pdf","27-CR-17-22909")</f>
        <v>27-CR-17-22909</v>
      </c>
      <c r="D288" s="3" t="s">
        <v>172</v>
      </c>
      <c r="E288" s="8" t="str">
        <f aca="false">HYPERLINK("https://mncourtfraud.com/file/MCRO_27-CR-17-22909_Proposed Order or Document_2020-01-23_20240430093729.pdf","MCRO_27-CR-17-22909_Proposed Order or Document_2020-01-23_20240430093729.pdf")</f>
        <v>MCRO_27-CR-17-22909_Proposed Order or Document_2020-01-23_20240430093729.pdf</v>
      </c>
      <c r="F288" s="9" t="n">
        <v>43853</v>
      </c>
      <c r="G288" s="1" t="s">
        <v>193</v>
      </c>
      <c r="H288" s="3" t="s">
        <v>194</v>
      </c>
      <c r="I288" s="3" t="s">
        <v>196</v>
      </c>
      <c r="K288" s="10"/>
      <c r="N288" s="10"/>
    </row>
    <row r="289" customFormat="false" ht="18.7" hidden="false" customHeight="true" outlineLevel="0" collapsed="false">
      <c r="A289" s="1" t="n">
        <v>288</v>
      </c>
      <c r="B289" s="7" t="str">
        <f aca="false">HYPERLINK("https://mncourtfraud.com/file/AMW-5.zip","AMW-5.zip")</f>
        <v>AMW-5.zip</v>
      </c>
      <c r="C289" s="8" t="str">
        <f aca="false">HYPERLINK("https://mncourtfraud.com/file/27-CR-17-8342.pdf","27-CR-17-8342")</f>
        <v>27-CR-17-8342</v>
      </c>
      <c r="D289" s="3" t="s">
        <v>172</v>
      </c>
      <c r="E289" s="8" t="str">
        <f aca="false">HYPERLINK("https://mncourtfraud.com/file/MCRO_27-CR-17-8342_Proposed Order or Document_2020-01-23_20240430093647.pdf","MCRO_27-CR-17-8342_Proposed Order or Document_2020-01-23_20240430093647.pdf")</f>
        <v>MCRO_27-CR-17-8342_Proposed Order or Document_2020-01-23_20240430093647.pdf</v>
      </c>
      <c r="F289" s="9" t="n">
        <v>43853</v>
      </c>
      <c r="G289" s="1" t="s">
        <v>193</v>
      </c>
      <c r="H289" s="3" t="s">
        <v>194</v>
      </c>
      <c r="I289" s="3" t="s">
        <v>197</v>
      </c>
      <c r="K289" s="10"/>
      <c r="N289" s="10"/>
    </row>
    <row r="290" customFormat="false" ht="18.7" hidden="false" customHeight="true" outlineLevel="0" collapsed="false">
      <c r="A290" s="1" t="n">
        <v>289</v>
      </c>
      <c r="F290" s="9"/>
      <c r="K290" s="10"/>
      <c r="N290" s="10"/>
    </row>
    <row r="291" customFormat="false" ht="18.7" hidden="false" customHeight="true" outlineLevel="0" collapsed="false">
      <c r="A291" s="1" t="n">
        <v>290</v>
      </c>
      <c r="B291" s="7" t="str">
        <f aca="false">HYPERLINK("https://mncourtfraud.com/file/AMW-6.zip","AMW-6.zip")</f>
        <v>AMW-6.zip</v>
      </c>
      <c r="C291" s="8" t="str">
        <f aca="false">HYPERLINK("https://mncourtfraud.com/file/27-CR-17-1555.pdf","27-CR-17-1555")</f>
        <v>27-CR-17-1555</v>
      </c>
      <c r="D291" s="3" t="s">
        <v>172</v>
      </c>
      <c r="E291" s="8" t="str">
        <f aca="false">HYPERLINK("https://mncourtfraud.com/file/MCRO_27-CR-17-1555_Notice of Motion and Motion_2020-01-23_20240430093554.pdf","MCRO_27-CR-17-1555_Notice of Motion and Motion_2020-01-23_20240430093554.pdf")</f>
        <v>MCRO_27-CR-17-1555_Notice of Motion and Motion_2020-01-23_20240430093554.pdf</v>
      </c>
      <c r="F291" s="9" t="n">
        <v>43853</v>
      </c>
      <c r="G291" s="1" t="s">
        <v>193</v>
      </c>
      <c r="H291" s="3" t="s">
        <v>198</v>
      </c>
      <c r="I291" s="3" t="s">
        <v>199</v>
      </c>
      <c r="K291" s="10"/>
      <c r="N291" s="10"/>
    </row>
    <row r="292" customFormat="false" ht="18.7" hidden="false" customHeight="true" outlineLevel="0" collapsed="false">
      <c r="A292" s="1" t="n">
        <v>291</v>
      </c>
      <c r="B292" s="7" t="str">
        <f aca="false">HYPERLINK("https://mncourtfraud.com/file/AMW-6.zip","AMW-6.zip")</f>
        <v>AMW-6.zip</v>
      </c>
      <c r="C292" s="8" t="str">
        <f aca="false">HYPERLINK("https://mncourtfraud.com/file/27-CR-17-22909.pdf","27-CR-17-22909")</f>
        <v>27-CR-17-22909</v>
      </c>
      <c r="D292" s="3" t="s">
        <v>172</v>
      </c>
      <c r="E292" s="8" t="str">
        <f aca="false">HYPERLINK("https://mncourtfraud.com/file/MCRO_27-CR-17-22909_Notice of Motion and Motion_2020-01-23_20240430093730.pdf","MCRO_27-CR-17-22909_Notice of Motion and Motion_2020-01-23_20240430093730.pdf")</f>
        <v>MCRO_27-CR-17-22909_Notice of Motion and Motion_2020-01-23_20240430093730.pdf</v>
      </c>
      <c r="F292" s="9" t="n">
        <v>43853</v>
      </c>
      <c r="G292" s="1" t="s">
        <v>193</v>
      </c>
      <c r="H292" s="3" t="s">
        <v>198</v>
      </c>
      <c r="I292" s="3" t="s">
        <v>200</v>
      </c>
      <c r="K292" s="10"/>
      <c r="N292" s="10"/>
    </row>
    <row r="293" customFormat="false" ht="18.7" hidden="false" customHeight="true" outlineLevel="0" collapsed="false">
      <c r="A293" s="1" t="n">
        <v>292</v>
      </c>
      <c r="B293" s="7" t="str">
        <f aca="false">HYPERLINK("https://mncourtfraud.com/file/AMW-6.zip","AMW-6.zip")</f>
        <v>AMW-6.zip</v>
      </c>
      <c r="C293" s="8" t="str">
        <f aca="false">HYPERLINK("https://mncourtfraud.com/file/27-CR-17-8342.pdf","27-CR-17-8342")</f>
        <v>27-CR-17-8342</v>
      </c>
      <c r="D293" s="3" t="s">
        <v>172</v>
      </c>
      <c r="E293" s="8" t="str">
        <f aca="false">HYPERLINK("https://mncourtfraud.com/file/MCRO_27-CR-17-8342_Notice of Motion and Motion_2020-01-23_20240430093649.pdf","MCRO_27-CR-17-8342_Notice of Motion and Motion_2020-01-23_20240430093649.pdf")</f>
        <v>MCRO_27-CR-17-8342_Notice of Motion and Motion_2020-01-23_20240430093649.pdf</v>
      </c>
      <c r="F293" s="9" t="n">
        <v>43853</v>
      </c>
      <c r="G293" s="1" t="s">
        <v>193</v>
      </c>
      <c r="H293" s="3" t="s">
        <v>198</v>
      </c>
      <c r="I293" s="3" t="s">
        <v>201</v>
      </c>
      <c r="K293" s="10"/>
      <c r="N293" s="10"/>
    </row>
    <row r="294" customFormat="false" ht="18.7" hidden="false" customHeight="true" outlineLevel="0" collapsed="false">
      <c r="A294" s="1" t="n">
        <v>293</v>
      </c>
      <c r="F294" s="9"/>
      <c r="K294" s="10"/>
      <c r="N294" s="10"/>
    </row>
    <row r="295" customFormat="false" ht="18.7" hidden="false" customHeight="true" outlineLevel="0" collapsed="false">
      <c r="A295" s="1" t="n">
        <v>294</v>
      </c>
      <c r="B295" s="7" t="str">
        <f aca="false">HYPERLINK("https://mncourtfraud.com/file/AMW-7.zip","AMW-7.zip")</f>
        <v>AMW-7.zip</v>
      </c>
      <c r="C295" s="8" t="str">
        <f aca="false">HYPERLINK("https://mncourtfraud.com/file/27-CR-17-1555.pdf","27-CR-17-1555")</f>
        <v>27-CR-17-1555</v>
      </c>
      <c r="D295" s="3" t="s">
        <v>172</v>
      </c>
      <c r="E295" s="8" t="str">
        <f aca="false">HYPERLINK("https://mncourtfraud.com/file/MCRO_27-CR-17-1555_Order-Other_2020-01-23_20240430093552.pdf","MCRO_27-CR-17-1555_Order-Other_2020-01-23_20240430093552.pdf")</f>
        <v>MCRO_27-CR-17-1555_Order-Other_2020-01-23_20240430093552.pdf</v>
      </c>
      <c r="F295" s="9" t="n">
        <v>43853</v>
      </c>
      <c r="G295" s="1" t="s">
        <v>202</v>
      </c>
      <c r="H295" s="3" t="s">
        <v>203</v>
      </c>
      <c r="I295" s="3" t="s">
        <v>204</v>
      </c>
      <c r="K295" s="10"/>
      <c r="N295" s="10"/>
    </row>
    <row r="296" customFormat="false" ht="18.7" hidden="false" customHeight="true" outlineLevel="0" collapsed="false">
      <c r="A296" s="1" t="n">
        <v>295</v>
      </c>
      <c r="B296" s="7" t="str">
        <f aca="false">HYPERLINK("https://mncourtfraud.com/file/AMW-7.zip","AMW-7.zip")</f>
        <v>AMW-7.zip</v>
      </c>
      <c r="C296" s="8" t="str">
        <f aca="false">HYPERLINK("https://mncourtfraud.com/file/27-CR-17-22909.pdf","27-CR-17-22909")</f>
        <v>27-CR-17-22909</v>
      </c>
      <c r="D296" s="3" t="s">
        <v>172</v>
      </c>
      <c r="E296" s="8" t="str">
        <f aca="false">HYPERLINK("https://mncourtfraud.com/file/MCRO_27-CR-17-22909_Order-Other_2020-01-23_20240430093728.pdf","MCRO_27-CR-17-22909_Order-Other_2020-01-23_20240430093728.pdf")</f>
        <v>MCRO_27-CR-17-22909_Order-Other_2020-01-23_20240430093728.pdf</v>
      </c>
      <c r="F296" s="9" t="n">
        <v>43853</v>
      </c>
      <c r="G296" s="1" t="s">
        <v>202</v>
      </c>
      <c r="H296" s="3" t="s">
        <v>203</v>
      </c>
      <c r="I296" s="3" t="s">
        <v>205</v>
      </c>
      <c r="K296" s="10"/>
      <c r="N296" s="10"/>
    </row>
    <row r="297" customFormat="false" ht="18.7" hidden="false" customHeight="true" outlineLevel="0" collapsed="false">
      <c r="A297" s="1" t="n">
        <v>296</v>
      </c>
      <c r="B297" s="7" t="str">
        <f aca="false">HYPERLINK("https://mncourtfraud.com/file/AMW-7.zip","AMW-7.zip")</f>
        <v>AMW-7.zip</v>
      </c>
      <c r="C297" s="8" t="str">
        <f aca="false">HYPERLINK("https://mncourtfraud.com/file/27-CR-17-8342.pdf","27-CR-17-8342")</f>
        <v>27-CR-17-8342</v>
      </c>
      <c r="D297" s="3" t="s">
        <v>172</v>
      </c>
      <c r="E297" s="8" t="str">
        <f aca="false">HYPERLINK("https://mncourtfraud.com/file/MCRO_27-CR-17-8342_Order-Other_2020-01-23_20240430093646.pdf","MCRO_27-CR-17-8342_Order-Other_2020-01-23_20240430093646.pdf")</f>
        <v>MCRO_27-CR-17-8342_Order-Other_2020-01-23_20240430093646.pdf</v>
      </c>
      <c r="F297" s="9" t="n">
        <v>43853</v>
      </c>
      <c r="G297" s="1" t="s">
        <v>202</v>
      </c>
      <c r="H297" s="3" t="s">
        <v>203</v>
      </c>
      <c r="I297" s="3" t="s">
        <v>206</v>
      </c>
      <c r="K297" s="10"/>
      <c r="N297" s="10"/>
    </row>
    <row r="298" customFormat="false" ht="18.7" hidden="false" customHeight="true" outlineLevel="0" collapsed="false">
      <c r="A298" s="1" t="n">
        <v>297</v>
      </c>
      <c r="F298" s="9"/>
      <c r="K298" s="10"/>
      <c r="N298" s="10"/>
    </row>
    <row r="299" customFormat="false" ht="18.7" hidden="false" customHeight="true" outlineLevel="0" collapsed="false">
      <c r="A299" s="1" t="n">
        <v>298</v>
      </c>
      <c r="B299" s="7" t="str">
        <f aca="false">HYPERLINK("https://mncourtfraud.com/file/AMW-8.zip","AMW-8.zip")</f>
        <v>AMW-8.zip</v>
      </c>
      <c r="C299" s="8" t="str">
        <f aca="false">HYPERLINK("https://mncourtfraud.com/file/27-CR-17-1555.pdf","27-CR-17-1555")</f>
        <v>27-CR-17-1555</v>
      </c>
      <c r="D299" s="3" t="s">
        <v>172</v>
      </c>
      <c r="E299" s="8" t="str">
        <f aca="false">HYPERLINK("https://mncourtfraud.com/file/MCRO_27-CR-17-1555_Order to Transport_2020-01-24_20240430093551.pdf","MCRO_27-CR-17-1555_Order to Transport_2020-01-24_20240430093551.pdf")</f>
        <v>MCRO_27-CR-17-1555_Order to Transport_2020-01-24_20240430093551.pdf</v>
      </c>
      <c r="F299" s="9" t="n">
        <v>43854</v>
      </c>
      <c r="G299" s="1" t="s">
        <v>207</v>
      </c>
      <c r="H299" s="3" t="s">
        <v>208</v>
      </c>
      <c r="I299" s="3" t="s">
        <v>209</v>
      </c>
      <c r="K299" s="10"/>
      <c r="N299" s="10"/>
    </row>
    <row r="300" customFormat="false" ht="18.7" hidden="false" customHeight="true" outlineLevel="0" collapsed="false">
      <c r="A300" s="1" t="n">
        <v>299</v>
      </c>
      <c r="B300" s="7" t="str">
        <f aca="false">HYPERLINK("https://mncourtfraud.com/file/AMW-8.zip","AMW-8.zip")</f>
        <v>AMW-8.zip</v>
      </c>
      <c r="C300" s="8" t="str">
        <f aca="false">HYPERLINK("https://mncourtfraud.com/file/27-CR-17-22909.pdf","27-CR-17-22909")</f>
        <v>27-CR-17-22909</v>
      </c>
      <c r="D300" s="3" t="s">
        <v>172</v>
      </c>
      <c r="E300" s="8" t="str">
        <f aca="false">HYPERLINK("https://mncourtfraud.com/file/MCRO_27-CR-17-22909_Order to Transport_2020-01-24_20240430093727.pdf","MCRO_27-CR-17-22909_Order to Transport_2020-01-24_20240430093727.pdf")</f>
        <v>MCRO_27-CR-17-22909_Order to Transport_2020-01-24_20240430093727.pdf</v>
      </c>
      <c r="F300" s="9" t="n">
        <v>43854</v>
      </c>
      <c r="G300" s="1" t="s">
        <v>207</v>
      </c>
      <c r="H300" s="3" t="s">
        <v>208</v>
      </c>
      <c r="I300" s="3" t="s">
        <v>210</v>
      </c>
      <c r="K300" s="10"/>
      <c r="N300" s="10"/>
    </row>
    <row r="301" customFormat="false" ht="18.7" hidden="false" customHeight="true" outlineLevel="0" collapsed="false">
      <c r="A301" s="1" t="n">
        <v>300</v>
      </c>
      <c r="B301" s="7" t="str">
        <f aca="false">HYPERLINK("https://mncourtfraud.com/file/AMW-8.zip","AMW-8.zip")</f>
        <v>AMW-8.zip</v>
      </c>
      <c r="C301" s="8" t="str">
        <f aca="false">HYPERLINK("https://mncourtfraud.com/file/27-CR-17-8342.pdf","27-CR-17-8342")</f>
        <v>27-CR-17-8342</v>
      </c>
      <c r="D301" s="3" t="s">
        <v>172</v>
      </c>
      <c r="E301" s="8" t="str">
        <f aca="false">HYPERLINK("https://mncourtfraud.com/file/MCRO_27-CR-17-8342_Order to Transport_2020-01-24_20240430093645.pdf","MCRO_27-CR-17-8342_Order to Transport_2020-01-24_20240430093645.pdf")</f>
        <v>MCRO_27-CR-17-8342_Order to Transport_2020-01-24_20240430093645.pdf</v>
      </c>
      <c r="F301" s="9" t="n">
        <v>43854</v>
      </c>
      <c r="G301" s="1" t="s">
        <v>207</v>
      </c>
      <c r="H301" s="3" t="s">
        <v>208</v>
      </c>
      <c r="I301" s="3" t="s">
        <v>211</v>
      </c>
      <c r="K301" s="10"/>
      <c r="N301" s="10"/>
    </row>
    <row r="302" customFormat="false" ht="18.7" hidden="false" customHeight="true" outlineLevel="0" collapsed="false">
      <c r="A302" s="1" t="n">
        <v>301</v>
      </c>
      <c r="F302" s="9"/>
      <c r="K302" s="10"/>
      <c r="N302" s="10"/>
    </row>
    <row r="303" customFormat="false" ht="18.7" hidden="false" customHeight="true" outlineLevel="0" collapsed="false">
      <c r="A303" s="1" t="n">
        <v>302</v>
      </c>
      <c r="B303" s="7" t="str">
        <f aca="false">HYPERLINK("https://mncourtfraud.com/file/AMW-9.zip","AMW-9.zip")</f>
        <v>AMW-9.zip</v>
      </c>
      <c r="C303" s="8" t="str">
        <f aca="false">HYPERLINK("https://mncourtfraud.com/file/27-CR-17-1555.pdf","27-CR-17-1555")</f>
        <v>27-CR-17-1555</v>
      </c>
      <c r="D303" s="3" t="s">
        <v>172</v>
      </c>
      <c r="E303" s="8" t="str">
        <f aca="false">HYPERLINK("https://mncourtfraud.com/file/MCRO_27-CR-17-1555_Find of Fact-Order, Pet Commitment-Dfd Found Incompetent_2020-05-08_20240430093550.pdf","MCRO_27-CR-17-1555_Find of Fact-Order, Pet Commitment-Dfd Found Incompetent_2020-05-08_20240430093550.pdf")</f>
        <v>MCRO_27-CR-17-1555_Find of Fact-Order, Pet Commitment-Dfd Found Incompetent_2020-05-08_20240430093550.pdf</v>
      </c>
      <c r="F303" s="9" t="n">
        <v>43959</v>
      </c>
      <c r="G303" s="1" t="s">
        <v>212</v>
      </c>
      <c r="H303" s="3" t="s">
        <v>213</v>
      </c>
      <c r="I303" s="3" t="s">
        <v>214</v>
      </c>
      <c r="K303" s="10"/>
      <c r="N303" s="10"/>
    </row>
    <row r="304" customFormat="false" ht="18.7" hidden="false" customHeight="true" outlineLevel="0" collapsed="false">
      <c r="A304" s="1" t="n">
        <v>303</v>
      </c>
      <c r="B304" s="7" t="str">
        <f aca="false">HYPERLINK("https://mncourtfraud.com/file/AMW-9.zip","AMW-9.zip")</f>
        <v>AMW-9.zip</v>
      </c>
      <c r="C304" s="8" t="str">
        <f aca="false">HYPERLINK("https://mncourtfraud.com/file/27-CR-17-22909.pdf","27-CR-17-22909")</f>
        <v>27-CR-17-22909</v>
      </c>
      <c r="D304" s="3" t="s">
        <v>172</v>
      </c>
      <c r="E304" s="8" t="str">
        <f aca="false">HYPERLINK("https://mncourtfraud.com/file/MCRO_27-CR-17-22909_Find of Fact-Order, Pet Commitment-Dfd Found Incompetent_2020-05-08_20240430093726.pdf","MCRO_27-CR-17-22909_Find of Fact-Order, Pet Commitment-Dfd Found Incompetent_2020-05-08_20240430093726.pdf")</f>
        <v>MCRO_27-CR-17-22909_Find of Fact-Order, Pet Commitment-Dfd Found Incompetent_2020-05-08_20240430093726.pdf</v>
      </c>
      <c r="F304" s="9" t="n">
        <v>43959</v>
      </c>
      <c r="G304" s="1" t="s">
        <v>212</v>
      </c>
      <c r="H304" s="3" t="s">
        <v>213</v>
      </c>
      <c r="I304" s="3" t="s">
        <v>215</v>
      </c>
      <c r="K304" s="10"/>
      <c r="N304" s="10"/>
    </row>
    <row r="305" customFormat="false" ht="18.7" hidden="false" customHeight="true" outlineLevel="0" collapsed="false">
      <c r="A305" s="1" t="n">
        <v>304</v>
      </c>
      <c r="B305" s="7" t="str">
        <f aca="false">HYPERLINK("https://mncourtfraud.com/file/AMW-9.zip","AMW-9.zip")</f>
        <v>AMW-9.zip</v>
      </c>
      <c r="C305" s="8" t="str">
        <f aca="false">HYPERLINK("https://mncourtfraud.com/file/27-CR-17-8342.pdf","27-CR-17-8342")</f>
        <v>27-CR-17-8342</v>
      </c>
      <c r="D305" s="3" t="s">
        <v>172</v>
      </c>
      <c r="E305" s="8" t="str">
        <f aca="false">HYPERLINK("https://mncourtfraud.com/file/MCRO_27-CR-17-8342_Find of Fact-Order, Pet Commitment-Dfd Found Incompetent_2020-05-08_20240430093644.pdf","MCRO_27-CR-17-8342_Find of Fact-Order, Pet Commitment-Dfd Found Incompetent_2020-05-08_20240430093644.pdf")</f>
        <v>MCRO_27-CR-17-8342_Find of Fact-Order, Pet Commitment-Dfd Found Incompetent_2020-05-08_20240430093644.pdf</v>
      </c>
      <c r="F305" s="9" t="n">
        <v>43959</v>
      </c>
      <c r="G305" s="1" t="s">
        <v>212</v>
      </c>
      <c r="H305" s="3" t="s">
        <v>213</v>
      </c>
      <c r="I305" s="3" t="s">
        <v>216</v>
      </c>
      <c r="K305" s="10"/>
      <c r="N305" s="10"/>
    </row>
    <row r="306" customFormat="false" ht="18.7" hidden="false" customHeight="true" outlineLevel="0" collapsed="false">
      <c r="A306" s="1" t="n">
        <v>305</v>
      </c>
      <c r="F306" s="9"/>
      <c r="K306" s="10"/>
      <c r="N306" s="10"/>
    </row>
    <row r="307" customFormat="false" ht="18.7" hidden="false" customHeight="true" outlineLevel="0" collapsed="false">
      <c r="A307" s="1" t="n">
        <v>306</v>
      </c>
      <c r="B307" s="7" t="str">
        <f aca="false">HYPERLINK("https://mncourtfraud.com/file/AMW-10.zip","AMW-10.zip")</f>
        <v>AMW-10.zip</v>
      </c>
      <c r="C307" s="8" t="str">
        <f aca="false">HYPERLINK("https://mncourtfraud.com/file/27-CR-17-1555.pdf","27-CR-17-1555")</f>
        <v>27-CR-17-1555</v>
      </c>
      <c r="D307" s="3" t="s">
        <v>172</v>
      </c>
      <c r="E307" s="8" t="str">
        <f aca="false">HYPERLINK("https://mncourtfraud.com/file/MCRO_27-CR-17-1555_Order-Other_2021-05-11_20240430093549.pdf","MCRO_27-CR-17-1555_Order-Other_2021-05-11_20240430093549.pdf")</f>
        <v>MCRO_27-CR-17-1555_Order-Other_2021-05-11_20240430093549.pdf</v>
      </c>
      <c r="F307" s="9" t="n">
        <v>44327</v>
      </c>
      <c r="G307" s="1" t="s">
        <v>217</v>
      </c>
      <c r="H307" s="3" t="s">
        <v>218</v>
      </c>
      <c r="I307" s="3" t="s">
        <v>219</v>
      </c>
      <c r="K307" s="10"/>
      <c r="N307" s="10"/>
    </row>
    <row r="308" customFormat="false" ht="18.7" hidden="false" customHeight="true" outlineLevel="0" collapsed="false">
      <c r="A308" s="1" t="n">
        <v>307</v>
      </c>
      <c r="B308" s="7" t="str">
        <f aca="false">HYPERLINK("https://mncourtfraud.com/file/AMW-10.zip","AMW-10.zip")</f>
        <v>AMW-10.zip</v>
      </c>
      <c r="C308" s="8" t="str">
        <f aca="false">HYPERLINK("https://mncourtfraud.com/file/27-CR-17-22909.pdf","27-CR-17-22909")</f>
        <v>27-CR-17-22909</v>
      </c>
      <c r="D308" s="3" t="s">
        <v>172</v>
      </c>
      <c r="E308" s="8" t="str">
        <f aca="false">HYPERLINK("https://mncourtfraud.com/file/MCRO_27-CR-17-22909_Order-Other_2021-05-11_20240430093725.pdf","MCRO_27-CR-17-22909_Order-Other_2021-05-11_20240430093725.pdf")</f>
        <v>MCRO_27-CR-17-22909_Order-Other_2021-05-11_20240430093725.pdf</v>
      </c>
      <c r="F308" s="9" t="n">
        <v>44327</v>
      </c>
      <c r="G308" s="1" t="s">
        <v>217</v>
      </c>
      <c r="H308" s="3" t="s">
        <v>220</v>
      </c>
      <c r="I308" s="3" t="s">
        <v>221</v>
      </c>
      <c r="K308" s="10"/>
      <c r="N308" s="10"/>
    </row>
    <row r="309" customFormat="false" ht="18.7" hidden="false" customHeight="true" outlineLevel="0" collapsed="false">
      <c r="A309" s="1" t="n">
        <v>308</v>
      </c>
      <c r="B309" s="7" t="str">
        <f aca="false">HYPERLINK("https://mncourtfraud.com/file/AMW-10.zip","AMW-10.zip")</f>
        <v>AMW-10.zip</v>
      </c>
      <c r="C309" s="8" t="str">
        <f aca="false">HYPERLINK("https://mncourtfraud.com/file/27-CR-17-8342.pdf","27-CR-17-8342")</f>
        <v>27-CR-17-8342</v>
      </c>
      <c r="D309" s="3" t="s">
        <v>172</v>
      </c>
      <c r="E309" s="8" t="str">
        <f aca="false">HYPERLINK("https://mncourtfraud.com/file/MCRO_27-CR-17-8342_Order-Other_2021-05-11_20240430093643.pdf","MCRO_27-CR-17-8342_Order-Other_2021-05-11_20240430093643.pdf")</f>
        <v>MCRO_27-CR-17-8342_Order-Other_2021-05-11_20240430093643.pdf</v>
      </c>
      <c r="F309" s="9" t="n">
        <v>44327</v>
      </c>
      <c r="G309" s="1" t="s">
        <v>217</v>
      </c>
      <c r="H309" s="3" t="s">
        <v>222</v>
      </c>
      <c r="I309" s="3" t="s">
        <v>223</v>
      </c>
      <c r="K309" s="10"/>
      <c r="N309" s="10"/>
    </row>
    <row r="310" customFormat="false" ht="18.7" hidden="false" customHeight="true" outlineLevel="0" collapsed="false">
      <c r="A310" s="1" t="n">
        <v>309</v>
      </c>
      <c r="F310" s="9"/>
      <c r="K310" s="10"/>
      <c r="N310" s="10"/>
    </row>
    <row r="311" customFormat="false" ht="18.7" hidden="false" customHeight="true" outlineLevel="0" collapsed="false">
      <c r="A311" s="1" t="n">
        <v>310</v>
      </c>
      <c r="B311" s="7" t="str">
        <f aca="false">HYPERLINK("https://mncourtfraud.com/file/AMW-11.zip","AMW-11.zip")</f>
        <v>AMW-11.zip</v>
      </c>
      <c r="C311" s="8" t="str">
        <f aca="false">HYPERLINK("https://mncourtfraud.com/file/27-CR-17-1555.pdf","27-CR-17-1555")</f>
        <v>27-CR-17-1555</v>
      </c>
      <c r="D311" s="3" t="s">
        <v>172</v>
      </c>
      <c r="E311" s="8" t="str">
        <f aca="false">HYPERLINK("https://mncourtfraud.com/file/MCRO_27-CR-17-1555_Order-Evaluation for Competency to Proceed (Rule 20.01)_2022-02-17_20240430093548.pdf","MCRO_27-CR-17-1555_Order-Evaluation for Competency to Proceed (Rule 20.01)_2022-02-17_20240430093548.pdf")</f>
        <v>MCRO_27-CR-17-1555_Order-Evaluation for Competency to Proceed (Rule 20.01)_2022-02-17_20240430093548.pdf</v>
      </c>
      <c r="F311" s="9" t="n">
        <v>44609</v>
      </c>
      <c r="G311" s="1" t="s">
        <v>224</v>
      </c>
      <c r="H311" s="3" t="s">
        <v>225</v>
      </c>
      <c r="I311" s="3" t="s">
        <v>226</v>
      </c>
      <c r="K311" s="10"/>
      <c r="N311" s="10"/>
    </row>
    <row r="312" customFormat="false" ht="18.7" hidden="false" customHeight="true" outlineLevel="0" collapsed="false">
      <c r="A312" s="1" t="n">
        <v>311</v>
      </c>
      <c r="B312" s="7" t="str">
        <f aca="false">HYPERLINK("https://mncourtfraud.com/file/AMW-11.zip","AMW-11.zip")</f>
        <v>AMW-11.zip</v>
      </c>
      <c r="C312" s="8" t="str">
        <f aca="false">HYPERLINK("https://mncourtfraud.com/file/27-CR-17-22909.pdf","27-CR-17-22909")</f>
        <v>27-CR-17-22909</v>
      </c>
      <c r="D312" s="3" t="s">
        <v>172</v>
      </c>
      <c r="E312" s="8" t="str">
        <f aca="false">HYPERLINK("https://mncourtfraud.com/file/MCRO_27-CR-17-22909_Order-Evaluation for Competency to Proceed (Rule 20.01)_2022-02-17_20240430093724.pdf","MCRO_27-CR-17-22909_Order-Evaluation for Competency to Proceed (Rule 20.01)_2022-02-17_20240430093724.pdf")</f>
        <v>MCRO_27-CR-17-22909_Order-Evaluation for Competency to Proceed (Rule 20.01)_2022-02-17_20240430093724.pdf</v>
      </c>
      <c r="F312" s="9" t="n">
        <v>44609</v>
      </c>
      <c r="G312" s="1" t="s">
        <v>224</v>
      </c>
      <c r="H312" s="3" t="s">
        <v>225</v>
      </c>
      <c r="I312" s="3" t="s">
        <v>227</v>
      </c>
      <c r="K312" s="10"/>
      <c r="N312" s="10"/>
    </row>
    <row r="313" customFormat="false" ht="18.7" hidden="false" customHeight="true" outlineLevel="0" collapsed="false">
      <c r="A313" s="1" t="n">
        <v>312</v>
      </c>
      <c r="B313" s="7" t="str">
        <f aca="false">HYPERLINK("https://mncourtfraud.com/file/AMW-11.zip","AMW-11.zip")</f>
        <v>AMW-11.zip</v>
      </c>
      <c r="C313" s="8" t="str">
        <f aca="false">HYPERLINK("https://mncourtfraud.com/file/27-CR-17-8342.pdf","27-CR-17-8342")</f>
        <v>27-CR-17-8342</v>
      </c>
      <c r="D313" s="3" t="s">
        <v>172</v>
      </c>
      <c r="E313" s="8" t="str">
        <f aca="false">HYPERLINK("https://mncourtfraud.com/file/MCRO_27-CR-17-8342_Order-Evaluation for Competency to Proceed (Rule 20.01)_2022-02-17_20240430093642.pdf","MCRO_27-CR-17-8342_Order-Evaluation for Competency to Proceed (Rule 20.01)_2022-02-17_20240430093642.pdf")</f>
        <v>MCRO_27-CR-17-8342_Order-Evaluation for Competency to Proceed (Rule 20.01)_2022-02-17_20240430093642.pdf</v>
      </c>
      <c r="F313" s="9" t="n">
        <v>44609</v>
      </c>
      <c r="G313" s="1" t="s">
        <v>224</v>
      </c>
      <c r="H313" s="3" t="s">
        <v>225</v>
      </c>
      <c r="I313" s="3" t="s">
        <v>228</v>
      </c>
      <c r="K313" s="10"/>
      <c r="N313" s="10"/>
    </row>
    <row r="314" customFormat="false" ht="18.7" hidden="false" customHeight="true" outlineLevel="0" collapsed="false">
      <c r="A314" s="1" t="n">
        <v>313</v>
      </c>
      <c r="F314" s="9"/>
      <c r="K314" s="10"/>
      <c r="N314" s="10"/>
    </row>
    <row r="315" customFormat="false" ht="18.7" hidden="false" customHeight="true" outlineLevel="0" collapsed="false">
      <c r="A315" s="1" t="n">
        <v>314</v>
      </c>
      <c r="B315" s="7" t="str">
        <f aca="false">HYPERLINK("https://mncourtfraud.com/file/AMW-12.zip","AMW-12.zip")</f>
        <v>AMW-12.zip</v>
      </c>
      <c r="C315" s="8" t="str">
        <f aca="false">HYPERLINK("https://mncourtfraud.com/file/27-CR-17-22909.pdf","27-CR-17-22909")</f>
        <v>27-CR-17-22909</v>
      </c>
      <c r="D315" s="3" t="s">
        <v>172</v>
      </c>
      <c r="E315" s="8" t="str">
        <f aca="false">HYPERLINK("https://mncourtfraud.com/file/MCRO_27-CR-17-22909_Proposed Order or Document_2022-12-27_20240430093722.pdf","MCRO_27-CR-17-22909_Proposed Order or Document_2022-12-27_20240430093722.pdf")</f>
        <v>MCRO_27-CR-17-22909_Proposed Order or Document_2022-12-27_20240430093722.pdf</v>
      </c>
      <c r="F315" s="9" t="n">
        <v>44922</v>
      </c>
      <c r="G315" s="1" t="s">
        <v>229</v>
      </c>
      <c r="H315" s="3" t="s">
        <v>230</v>
      </c>
      <c r="I315" s="3" t="s">
        <v>231</v>
      </c>
      <c r="K315" s="10"/>
      <c r="N315" s="10"/>
    </row>
    <row r="316" customFormat="false" ht="18.7" hidden="false" customHeight="true" outlineLevel="0" collapsed="false">
      <c r="A316" s="1" t="n">
        <v>315</v>
      </c>
      <c r="B316" s="7" t="str">
        <f aca="false">HYPERLINK("https://mncourtfraud.com/file/AMW-12.zip","AMW-12.zip")</f>
        <v>AMW-12.zip</v>
      </c>
      <c r="C316" s="8" t="str">
        <f aca="false">HYPERLINK("https://mncourtfraud.com/file/27-CR-17-1555.pdf","27-CR-17-1555")</f>
        <v>27-CR-17-1555</v>
      </c>
      <c r="D316" s="3" t="s">
        <v>172</v>
      </c>
      <c r="E316" s="8" t="str">
        <f aca="false">HYPERLINK("https://mncourtfraud.com/file/MCRO_27-CR-17-1555_Order-Other_2022-12-27_20240430093545.pdf","MCRO_27-CR-17-1555_Order-Other_2022-12-27_20240430093545.pdf")</f>
        <v>MCRO_27-CR-17-1555_Order-Other_2022-12-27_20240430093545.pdf</v>
      </c>
      <c r="F316" s="9" t="n">
        <v>44922</v>
      </c>
      <c r="G316" s="1" t="s">
        <v>229</v>
      </c>
      <c r="H316" s="3" t="s">
        <v>230</v>
      </c>
      <c r="I316" s="3" t="s">
        <v>232</v>
      </c>
      <c r="J316" s="3" t="s">
        <v>64</v>
      </c>
      <c r="K316" s="10" t="s">
        <v>233</v>
      </c>
      <c r="L316" s="3" t="s">
        <v>234</v>
      </c>
      <c r="N316" s="10"/>
    </row>
    <row r="317" customFormat="false" ht="18.7" hidden="false" customHeight="true" outlineLevel="0" collapsed="false">
      <c r="A317" s="1" t="n">
        <v>316</v>
      </c>
      <c r="B317" s="7" t="str">
        <f aca="false">HYPERLINK("https://mncourtfraud.com/file/AMW-12.zip","AMW-12.zip")</f>
        <v>AMW-12.zip</v>
      </c>
      <c r="C317" s="8" t="str">
        <f aca="false">HYPERLINK("https://mncourtfraud.com/file/27-CR-17-22909.pdf","27-CR-17-22909")</f>
        <v>27-CR-17-22909</v>
      </c>
      <c r="D317" s="3" t="s">
        <v>172</v>
      </c>
      <c r="E317" s="8" t="str">
        <f aca="false">HYPERLINK("https://mncourtfraud.com/file/MCRO_27-CR-17-22909_Order-Other_2022-12-29_20240430093721.pdf","MCRO_27-CR-17-22909_Order-Other_2022-12-29_20240430093721.pdf")</f>
        <v>MCRO_27-CR-17-22909_Order-Other_2022-12-29_20240430093721.pdf</v>
      </c>
      <c r="F317" s="9" t="n">
        <v>44924</v>
      </c>
      <c r="G317" s="1" t="s">
        <v>229</v>
      </c>
      <c r="H317" s="3" t="s">
        <v>230</v>
      </c>
      <c r="I317" s="3" t="s">
        <v>232</v>
      </c>
      <c r="J317" s="3" t="s">
        <v>64</v>
      </c>
      <c r="K317" s="10" t="s">
        <v>233</v>
      </c>
      <c r="L317" s="3" t="s">
        <v>234</v>
      </c>
      <c r="N317" s="10"/>
    </row>
    <row r="318" customFormat="false" ht="18.7" hidden="false" customHeight="true" outlineLevel="0" collapsed="false">
      <c r="A318" s="1" t="n">
        <v>317</v>
      </c>
      <c r="B318" s="7" t="str">
        <f aca="false">HYPERLINK("https://mncourtfraud.com/file/AMW-12.zip","AMW-12.zip")</f>
        <v>AMW-12.zip</v>
      </c>
      <c r="C318" s="8" t="str">
        <f aca="false">HYPERLINK("https://mncourtfraud.com/file/27-CR-17-8342.pdf","27-CR-17-8342")</f>
        <v>27-CR-17-8342</v>
      </c>
      <c r="D318" s="3" t="s">
        <v>172</v>
      </c>
      <c r="E318" s="8" t="str">
        <f aca="false">HYPERLINK("https://mncourtfraud.com/file/MCRO_27-CR-17-8342_Order-Other_2022-12-27_20240430093638.pdf","MCRO_27-CR-17-8342_Order-Other_2022-12-27_20240430093638.pdf")</f>
        <v>MCRO_27-CR-17-8342_Order-Other_2022-12-27_20240430093638.pdf</v>
      </c>
      <c r="F318" s="9" t="n">
        <v>44922</v>
      </c>
      <c r="G318" s="1" t="s">
        <v>229</v>
      </c>
      <c r="H318" s="3" t="s">
        <v>230</v>
      </c>
      <c r="I318" s="3" t="s">
        <v>232</v>
      </c>
      <c r="J318" s="3" t="s">
        <v>64</v>
      </c>
      <c r="K318" s="10" t="s">
        <v>233</v>
      </c>
      <c r="L318" s="3" t="s">
        <v>234</v>
      </c>
      <c r="N318" s="10"/>
    </row>
    <row r="319" customFormat="false" ht="18.7" hidden="false" customHeight="true" outlineLevel="0" collapsed="false">
      <c r="A319" s="1" t="n">
        <v>318</v>
      </c>
      <c r="B319" s="7" t="str">
        <f aca="false">HYPERLINK("https://mncourtfraud.com/file/AMW-12.zip","AMW-12.zip")</f>
        <v>AMW-12.zip</v>
      </c>
      <c r="C319" s="8" t="str">
        <f aca="false">HYPERLINK("https://mncourtfraud.com/file/27-CR-17-1555.pdf","27-CR-17-1555")</f>
        <v>27-CR-17-1555</v>
      </c>
      <c r="D319" s="3" t="s">
        <v>172</v>
      </c>
      <c r="E319" s="8" t="str">
        <f aca="false">HYPERLINK("https://mncourtfraud.com/file/MCRO_27-CR-17-1555_Proposed Order or Document_2022-12-27_20240430093545.pdf","MCRO_27-CR-17-1555_Proposed Order or Document_2022-12-27_20240430093545.pdf")</f>
        <v>MCRO_27-CR-17-1555_Proposed Order or Document_2022-12-27_20240430093545.pdf</v>
      </c>
      <c r="F319" s="9" t="n">
        <v>44922</v>
      </c>
      <c r="G319" s="1" t="s">
        <v>229</v>
      </c>
      <c r="H319" s="3" t="s">
        <v>230</v>
      </c>
      <c r="I319" s="3" t="s">
        <v>235</v>
      </c>
      <c r="K319" s="10"/>
      <c r="N319" s="10"/>
    </row>
    <row r="320" customFormat="false" ht="18.7" hidden="false" customHeight="true" outlineLevel="0" collapsed="false">
      <c r="A320" s="1" t="n">
        <v>319</v>
      </c>
      <c r="B320" s="7" t="str">
        <f aca="false">HYPERLINK("https://mncourtfraud.com/file/AMW-12.zip","AMW-12.zip")</f>
        <v>AMW-12.zip</v>
      </c>
      <c r="C320" s="8" t="str">
        <f aca="false">HYPERLINK("https://mncourtfraud.com/file/27-CR-17-8342.pdf","27-CR-17-8342")</f>
        <v>27-CR-17-8342</v>
      </c>
      <c r="D320" s="3" t="s">
        <v>172</v>
      </c>
      <c r="E320" s="8" t="str">
        <f aca="false">HYPERLINK("https://mncourtfraud.com/file/MCRO_27-CR-17-8342_Proposed Order or Document_2022-12-27_20240430093639.pdf","MCRO_27-CR-17-8342_Proposed Order or Document_2022-12-27_20240430093639.pdf")</f>
        <v>MCRO_27-CR-17-8342_Proposed Order or Document_2022-12-27_20240430093639.pdf</v>
      </c>
      <c r="F320" s="9" t="n">
        <v>44922</v>
      </c>
      <c r="G320" s="1" t="s">
        <v>229</v>
      </c>
      <c r="H320" s="3" t="s">
        <v>230</v>
      </c>
      <c r="I320" s="3" t="s">
        <v>236</v>
      </c>
      <c r="K320" s="10"/>
      <c r="N320" s="10"/>
    </row>
    <row r="321" customFormat="false" ht="18.7" hidden="false" customHeight="true" outlineLevel="0" collapsed="false">
      <c r="A321" s="1" t="n">
        <v>320</v>
      </c>
      <c r="F321" s="9"/>
      <c r="K321" s="10"/>
      <c r="N321" s="10"/>
    </row>
    <row r="322" customFormat="false" ht="18.7" hidden="false" customHeight="true" outlineLevel="0" collapsed="false">
      <c r="A322" s="1" t="n">
        <v>321</v>
      </c>
      <c r="B322" s="7" t="str">
        <f aca="false">HYPERLINK("https://mncourtfraud.com/file/AMW-13.zip","AMW-13.zip")</f>
        <v>AMW-13.zip</v>
      </c>
      <c r="C322" s="8" t="str">
        <f aca="false">HYPERLINK("https://mncourtfraud.com/file/27-CR-17-1555.pdf","27-CR-17-1555")</f>
        <v>27-CR-17-1555</v>
      </c>
      <c r="D322" s="3" t="s">
        <v>172</v>
      </c>
      <c r="E322" s="8" t="str">
        <f aca="false">HYPERLINK("https://mncourtfraud.com/file/MCRO_27-CR-17-1555_Correspondence for Judicial Approval_2022-12-27_20240430093546.pdf","MCRO_27-CR-17-1555_Correspondence for Judicial Approval_2022-12-27_20240430093546.pdf")</f>
        <v>MCRO_27-CR-17-1555_Correspondence for Judicial Approval_2022-12-27_20240430093546.pdf</v>
      </c>
      <c r="F322" s="9" t="n">
        <v>44922</v>
      </c>
      <c r="G322" s="1" t="s">
        <v>237</v>
      </c>
      <c r="H322" s="3" t="s">
        <v>238</v>
      </c>
      <c r="I322" s="3" t="s">
        <v>239</v>
      </c>
      <c r="K322" s="10"/>
      <c r="N322" s="10"/>
    </row>
    <row r="323" customFormat="false" ht="18.7" hidden="false" customHeight="true" outlineLevel="0" collapsed="false">
      <c r="A323" s="1" t="n">
        <v>322</v>
      </c>
      <c r="B323" s="7" t="str">
        <f aca="false">HYPERLINK("https://mncourtfraud.com/file/AMW-13.zip","AMW-13.zip")</f>
        <v>AMW-13.zip</v>
      </c>
      <c r="C323" s="8" t="str">
        <f aca="false">HYPERLINK("https://mncourtfraud.com/file/27-CR-17-22909.pdf","27-CR-17-22909")</f>
        <v>27-CR-17-22909</v>
      </c>
      <c r="D323" s="3" t="s">
        <v>172</v>
      </c>
      <c r="E323" s="8" t="str">
        <f aca="false">HYPERLINK("https://mncourtfraud.com/file/MCRO_27-CR-17-22909_Correspondence for Judicial Approval_2022-12-27_20240430093723.pdf","MCRO_27-CR-17-22909_Correspondence for Judicial Approval_2022-12-27_20240430093723.pdf")</f>
        <v>MCRO_27-CR-17-22909_Correspondence for Judicial Approval_2022-12-27_20240430093723.pdf</v>
      </c>
      <c r="F323" s="9" t="n">
        <v>44922</v>
      </c>
      <c r="G323" s="1" t="s">
        <v>237</v>
      </c>
      <c r="H323" s="3" t="s">
        <v>238</v>
      </c>
      <c r="I323" s="3" t="s">
        <v>240</v>
      </c>
      <c r="K323" s="10"/>
      <c r="N323" s="10"/>
    </row>
    <row r="324" customFormat="false" ht="18.7" hidden="false" customHeight="true" outlineLevel="0" collapsed="false">
      <c r="A324" s="1" t="n">
        <v>323</v>
      </c>
      <c r="B324" s="7" t="str">
        <f aca="false">HYPERLINK("https://mncourtfraud.com/file/AMW-13.zip","AMW-13.zip")</f>
        <v>AMW-13.zip</v>
      </c>
      <c r="C324" s="8" t="str">
        <f aca="false">HYPERLINK("https://mncourtfraud.com/file/27-CR-17-8342.pdf","27-CR-17-8342")</f>
        <v>27-CR-17-8342</v>
      </c>
      <c r="D324" s="3" t="s">
        <v>172</v>
      </c>
      <c r="E324" s="8" t="str">
        <f aca="false">HYPERLINK("https://mncourtfraud.com/file/MCRO_27-CR-17-8342_Correspondence for Judicial Approval_2022-12-27_20240430093640.pdf","MCRO_27-CR-17-8342_Correspondence for Judicial Approval_2022-12-27_20240430093640.pdf")</f>
        <v>MCRO_27-CR-17-8342_Correspondence for Judicial Approval_2022-12-27_20240430093640.pdf</v>
      </c>
      <c r="F324" s="9" t="n">
        <v>44922</v>
      </c>
      <c r="G324" s="1" t="s">
        <v>237</v>
      </c>
      <c r="H324" s="3" t="s">
        <v>238</v>
      </c>
      <c r="I324" s="3" t="s">
        <v>241</v>
      </c>
      <c r="K324" s="10"/>
      <c r="N324" s="10"/>
    </row>
    <row r="325" customFormat="false" ht="18.7" hidden="false" customHeight="true" outlineLevel="0" collapsed="false">
      <c r="A325" s="1" t="n">
        <v>324</v>
      </c>
      <c r="F325" s="9"/>
      <c r="K325" s="10"/>
      <c r="N325" s="10"/>
    </row>
    <row r="326" customFormat="false" ht="18.7" hidden="false" customHeight="true" outlineLevel="0" collapsed="false">
      <c r="A326" s="1" t="n">
        <v>325</v>
      </c>
      <c r="B326" s="7" t="str">
        <f aca="false">HYPERLINK("https://mncourtfraud.com/file/AMW-14.zip","AMW-14.zip")</f>
        <v>AMW-14.zip</v>
      </c>
      <c r="C326" s="8" t="str">
        <f aca="false">HYPERLINK("https://mncourtfraud.com/file/27-CR-17-1555.pdf","27-CR-17-1555")</f>
        <v>27-CR-17-1555</v>
      </c>
      <c r="D326" s="3" t="s">
        <v>172</v>
      </c>
      <c r="E326" s="8" t="str">
        <f aca="false">HYPERLINK("https://mncourtfraud.com/file/MCRO_27-CR-17-1555_Notice of Remote Hearing with Instructions_2024-01-09_20240430093543 (1).pdf","MCRO_27-CR-17-1555_Notice of Remote Hearing with Instructions_2024-01-09_20240430093543 (1).pdf")</f>
        <v>MCRO_27-CR-17-1555_Notice of Remote Hearing with Instructions_2024-01-09_20240430093543 (1).pdf</v>
      </c>
      <c r="F326" s="9" t="n">
        <v>45300</v>
      </c>
      <c r="G326" s="1" t="s">
        <v>242</v>
      </c>
      <c r="H326" s="3" t="s">
        <v>243</v>
      </c>
      <c r="I326" s="3" t="s">
        <v>244</v>
      </c>
      <c r="K326" s="10"/>
      <c r="N326" s="10"/>
    </row>
    <row r="327" customFormat="false" ht="18.7" hidden="false" customHeight="true" outlineLevel="0" collapsed="false">
      <c r="A327" s="1" t="n">
        <v>326</v>
      </c>
      <c r="B327" s="7" t="str">
        <f aca="false">HYPERLINK("https://mncourtfraud.com/file/AMW-14.zip","AMW-14.zip")</f>
        <v>AMW-14.zip</v>
      </c>
      <c r="C327" s="8" t="str">
        <f aca="false">HYPERLINK("https://mncourtfraud.com/file/27-CR-17-1555.pdf","27-CR-17-1555")</f>
        <v>27-CR-17-1555</v>
      </c>
      <c r="D327" s="3" t="s">
        <v>172</v>
      </c>
      <c r="E327" s="8" t="str">
        <f aca="false">HYPERLINK("https://mncourtfraud.com/file/MCRO_27-CR-17-1555_Notice of Remote Hearing with Instructions_2024-01-09_20240430093543.pdf","MCRO_27-CR-17-1555_Notice of Remote Hearing with Instructions_2024-01-09_20240430093543.pdf")</f>
        <v>MCRO_27-CR-17-1555_Notice of Remote Hearing with Instructions_2024-01-09_20240430093543.pdf</v>
      </c>
      <c r="F327" s="9" t="n">
        <v>45300</v>
      </c>
      <c r="G327" s="1" t="s">
        <v>242</v>
      </c>
      <c r="H327" s="3" t="s">
        <v>243</v>
      </c>
      <c r="I327" s="3" t="s">
        <v>245</v>
      </c>
      <c r="K327" s="10"/>
      <c r="N327" s="10"/>
    </row>
    <row r="328" customFormat="false" ht="18.7" hidden="false" customHeight="true" outlineLevel="0" collapsed="false">
      <c r="A328" s="1" t="n">
        <v>327</v>
      </c>
      <c r="B328" s="7" t="str">
        <f aca="false">HYPERLINK("https://mncourtfraud.com/file/AMW-14.zip","AMW-14.zip")</f>
        <v>AMW-14.zip</v>
      </c>
      <c r="C328" s="8" t="str">
        <f aca="false">HYPERLINK("https://mncourtfraud.com/file/27-CR-17-22909.pdf","27-CR-17-22909")</f>
        <v>27-CR-17-22909</v>
      </c>
      <c r="D328" s="3" t="s">
        <v>172</v>
      </c>
      <c r="E328" s="8" t="str">
        <f aca="false">HYPERLINK("https://mncourtfraud.com/file/MCRO_27-CR-17-22909_Notice of Remote Hearing with Instructions_2024-01-09_20240430093719 (1).pdf","MCRO_27-CR-17-22909_Notice of Remote Hearing with Instructions_2024-01-09_20240430093719 (1).pdf")</f>
        <v>MCRO_27-CR-17-22909_Notice of Remote Hearing with Instructions_2024-01-09_20240430093719 (1).pdf</v>
      </c>
      <c r="F328" s="9" t="n">
        <v>45300</v>
      </c>
      <c r="G328" s="1" t="s">
        <v>242</v>
      </c>
      <c r="H328" s="3" t="s">
        <v>243</v>
      </c>
      <c r="I328" s="3" t="s">
        <v>246</v>
      </c>
      <c r="K328" s="10"/>
      <c r="N328" s="10"/>
    </row>
    <row r="329" customFormat="false" ht="18.7" hidden="false" customHeight="true" outlineLevel="0" collapsed="false">
      <c r="A329" s="1" t="n">
        <v>328</v>
      </c>
      <c r="B329" s="7" t="str">
        <f aca="false">HYPERLINK("https://mncourtfraud.com/file/AMW-14.zip","AMW-14.zip")</f>
        <v>AMW-14.zip</v>
      </c>
      <c r="C329" s="8" t="str">
        <f aca="false">HYPERLINK("https://mncourtfraud.com/file/27-CR-17-22909.pdf","27-CR-17-22909")</f>
        <v>27-CR-17-22909</v>
      </c>
      <c r="D329" s="3" t="s">
        <v>172</v>
      </c>
      <c r="E329" s="8" t="str">
        <f aca="false">HYPERLINK("https://mncourtfraud.com/file/MCRO_27-CR-17-22909_Notice of Remote Hearing with Instructions_2024-01-09_20240430093719.pdf","MCRO_27-CR-17-22909_Notice of Remote Hearing with Instructions_2024-01-09_20240430093719.pdf")</f>
        <v>MCRO_27-CR-17-22909_Notice of Remote Hearing with Instructions_2024-01-09_20240430093719.pdf</v>
      </c>
      <c r="F329" s="9" t="n">
        <v>45300</v>
      </c>
      <c r="G329" s="1" t="s">
        <v>242</v>
      </c>
      <c r="H329" s="3" t="s">
        <v>243</v>
      </c>
      <c r="I329" s="3" t="s">
        <v>245</v>
      </c>
      <c r="K329" s="10"/>
      <c r="N329" s="10"/>
    </row>
    <row r="330" customFormat="false" ht="18.7" hidden="false" customHeight="true" outlineLevel="0" collapsed="false">
      <c r="A330" s="1" t="n">
        <v>329</v>
      </c>
      <c r="B330" s="7" t="str">
        <f aca="false">HYPERLINK("https://mncourtfraud.com/file/AMW-14.zip","AMW-14.zip")</f>
        <v>AMW-14.zip</v>
      </c>
      <c r="C330" s="8" t="str">
        <f aca="false">HYPERLINK("https://mncourtfraud.com/file/27-CR-17-8342.pdf","27-CR-17-8342")</f>
        <v>27-CR-17-8342</v>
      </c>
      <c r="D330" s="3" t="s">
        <v>172</v>
      </c>
      <c r="E330" s="8" t="str">
        <f aca="false">HYPERLINK("https://mncourtfraud.com/file/MCRO_27-CR-17-8342_Notice of Remote Hearing with Instructions_2024-01-09_20240430093636.pdf","MCRO_27-CR-17-8342_Notice of Remote Hearing with Instructions_2024-01-09_20240430093636.pdf")</f>
        <v>MCRO_27-CR-17-8342_Notice of Remote Hearing with Instructions_2024-01-09_20240430093636.pdf</v>
      </c>
      <c r="F330" s="9" t="n">
        <v>45300</v>
      </c>
      <c r="G330" s="1" t="s">
        <v>242</v>
      </c>
      <c r="H330" s="3" t="s">
        <v>243</v>
      </c>
      <c r="I330" s="3" t="s">
        <v>245</v>
      </c>
      <c r="K330" s="10"/>
      <c r="N330" s="10"/>
    </row>
    <row r="331" customFormat="false" ht="18.7" hidden="false" customHeight="true" outlineLevel="0" collapsed="false">
      <c r="A331" s="1" t="n">
        <v>330</v>
      </c>
      <c r="B331" s="7" t="str">
        <f aca="false">HYPERLINK("https://mncourtfraud.com/file/AMW-14.zip","AMW-14.zip")</f>
        <v>AMW-14.zip</v>
      </c>
      <c r="C331" s="8" t="str">
        <f aca="false">HYPERLINK("https://mncourtfraud.com/file/27-CR-17-8342.pdf","27-CR-17-8342")</f>
        <v>27-CR-17-8342</v>
      </c>
      <c r="D331" s="3" t="s">
        <v>172</v>
      </c>
      <c r="E331" s="8" t="str">
        <f aca="false">HYPERLINK("https://mncourtfraud.com/file/MCRO_27-CR-17-8342_Notice of Remote Hearing with Instructions_2024-01-09_20240430093637.pdf","MCRO_27-CR-17-8342_Notice of Remote Hearing with Instructions_2024-01-09_20240430093637.pdf")</f>
        <v>MCRO_27-CR-17-8342_Notice of Remote Hearing with Instructions_2024-01-09_20240430093637.pdf</v>
      </c>
      <c r="F331" s="9" t="n">
        <v>45300</v>
      </c>
      <c r="G331" s="1" t="s">
        <v>242</v>
      </c>
      <c r="H331" s="3" t="s">
        <v>243</v>
      </c>
      <c r="I331" s="3" t="s">
        <v>246</v>
      </c>
      <c r="K331" s="10"/>
      <c r="N331" s="10"/>
    </row>
    <row r="332" customFormat="false" ht="18.7" hidden="false" customHeight="true" outlineLevel="0" collapsed="false">
      <c r="A332" s="1" t="n">
        <v>331</v>
      </c>
      <c r="F332" s="9"/>
      <c r="K332" s="10"/>
      <c r="N332" s="10"/>
    </row>
    <row r="333" customFormat="false" ht="18.7" hidden="false" customHeight="true" outlineLevel="0" collapsed="false">
      <c r="A333" s="1" t="n">
        <v>332</v>
      </c>
      <c r="B333" s="7" t="str">
        <f aca="false">HYPERLINK("https://mncourtfraud.com/file/AMW-15.zip","AMW-15.zip")</f>
        <v>AMW-15.zip</v>
      </c>
      <c r="C333" s="8" t="str">
        <f aca="false">HYPERLINK("https://mncourtfraud.com/file/27-CR-17-1555.pdf","27-CR-17-1555")</f>
        <v>27-CR-17-1555</v>
      </c>
      <c r="D333" s="3" t="s">
        <v>172</v>
      </c>
      <c r="E333" s="8" t="str">
        <f aca="false">HYPERLINK("https://mncourtfraud.com/file/MCRO_27-CR-17-1555_Notice of Motion and Motion_2024-01-31_20240430093541.pdf","MCRO_27-CR-17-1555_Notice of Motion and Motion_2024-01-31_20240430093541.pdf")</f>
        <v>MCRO_27-CR-17-1555_Notice of Motion and Motion_2024-01-31_20240430093541.pdf</v>
      </c>
      <c r="F333" s="9" t="n">
        <v>45322</v>
      </c>
      <c r="G333" s="1" t="s">
        <v>247</v>
      </c>
      <c r="H333" s="3" t="s">
        <v>248</v>
      </c>
      <c r="I333" s="3" t="s">
        <v>249</v>
      </c>
      <c r="K333" s="10"/>
      <c r="N333" s="10"/>
    </row>
    <row r="334" customFormat="false" ht="18.7" hidden="false" customHeight="true" outlineLevel="0" collapsed="false">
      <c r="A334" s="1" t="n">
        <v>333</v>
      </c>
      <c r="B334" s="7" t="str">
        <f aca="false">HYPERLINK("https://mncourtfraud.com/file/AMW-15.zip","AMW-15.zip")</f>
        <v>AMW-15.zip</v>
      </c>
      <c r="C334" s="8" t="str">
        <f aca="false">HYPERLINK("https://mncourtfraud.com/file/27-CR-17-8342.pdf","27-CR-17-8342")</f>
        <v>27-CR-17-8342</v>
      </c>
      <c r="D334" s="3" t="s">
        <v>172</v>
      </c>
      <c r="E334" s="8" t="str">
        <f aca="false">HYPERLINK("https://mncourtfraud.com/file/MCRO_27-CR-17-8342_Notice of Motion and Motion_2024-01-31_20240430093635.pdf","MCRO_27-CR-17-8342_Notice of Motion and Motion_2024-01-31_20240430093635.pdf")</f>
        <v>MCRO_27-CR-17-8342_Notice of Motion and Motion_2024-01-31_20240430093635.pdf</v>
      </c>
      <c r="F334" s="9" t="n">
        <v>45322</v>
      </c>
      <c r="G334" s="1" t="s">
        <v>247</v>
      </c>
      <c r="H334" s="3" t="s">
        <v>248</v>
      </c>
      <c r="I334" s="3" t="s">
        <v>250</v>
      </c>
      <c r="K334" s="10"/>
      <c r="N334" s="10"/>
    </row>
    <row r="335" customFormat="false" ht="18.7" hidden="false" customHeight="true" outlineLevel="0" collapsed="false">
      <c r="A335" s="1" t="n">
        <v>334</v>
      </c>
      <c r="F335" s="9"/>
      <c r="K335" s="10"/>
      <c r="N335" s="10"/>
    </row>
    <row r="336" customFormat="false" ht="18.7" hidden="false" customHeight="true" outlineLevel="0" collapsed="false">
      <c r="A336" s="1" t="n">
        <v>335</v>
      </c>
      <c r="B336" s="7" t="str">
        <f aca="false">HYPERLINK("https://mncourtfraud.com/file/AMW-16.zip","AMW-16.zip")</f>
        <v>AMW-16.zip</v>
      </c>
      <c r="C336" s="8" t="str">
        <f aca="false">HYPERLINK("https://mncourtfraud.com/file/27-CR-17-1555.pdf","27-CR-17-1555")</f>
        <v>27-CR-17-1555</v>
      </c>
      <c r="D336" s="3" t="s">
        <v>172</v>
      </c>
      <c r="E336" s="8" t="str">
        <f aca="false">HYPERLINK("https://mncourtfraud.com/file/MCRO_27-CR-17-1555_Notice of Remote Hearing with Instructions_2024-03-19_20240430093538.pdf","MCRO_27-CR-17-1555_Notice of Remote Hearing with Instructions_2024-03-19_20240430093538.pdf")</f>
        <v>MCRO_27-CR-17-1555_Notice of Remote Hearing with Instructions_2024-03-19_20240430093538.pdf</v>
      </c>
      <c r="F336" s="9" t="n">
        <v>45370</v>
      </c>
      <c r="G336" s="1" t="s">
        <v>251</v>
      </c>
      <c r="H336" s="3" t="s">
        <v>252</v>
      </c>
      <c r="I336" s="3" t="s">
        <v>252</v>
      </c>
      <c r="K336" s="10"/>
      <c r="N336" s="10"/>
    </row>
    <row r="337" customFormat="false" ht="18.7" hidden="false" customHeight="true" outlineLevel="0" collapsed="false">
      <c r="A337" s="1" t="n">
        <v>336</v>
      </c>
      <c r="B337" s="7" t="str">
        <f aca="false">HYPERLINK("https://mncourtfraud.com/file/AMW-16.zip","AMW-16.zip")</f>
        <v>AMW-16.zip</v>
      </c>
      <c r="C337" s="8" t="str">
        <f aca="false">HYPERLINK("https://mncourtfraud.com/file/27-CR-17-8342.pdf","27-CR-17-8342")</f>
        <v>27-CR-17-8342</v>
      </c>
      <c r="D337" s="3" t="s">
        <v>172</v>
      </c>
      <c r="E337" s="8" t="str">
        <f aca="false">HYPERLINK("https://mncourtfraud.com/file/MCRO_27-CR-17-8342_Notice of Remote Hearing with Instructions_2024-03-19_20240430093633.pdf","MCRO_27-CR-17-8342_Notice of Remote Hearing with Instructions_2024-03-19_20240430093633.pdf")</f>
        <v>MCRO_27-CR-17-8342_Notice of Remote Hearing with Instructions_2024-03-19_20240430093633.pdf</v>
      </c>
      <c r="F337" s="9" t="n">
        <v>45370</v>
      </c>
      <c r="G337" s="1" t="s">
        <v>251</v>
      </c>
      <c r="H337" s="3" t="s">
        <v>252</v>
      </c>
      <c r="I337" s="3" t="s">
        <v>252</v>
      </c>
      <c r="K337" s="10"/>
      <c r="N337" s="10"/>
    </row>
    <row r="338" customFormat="false" ht="18.7" hidden="false" customHeight="true" outlineLevel="0" collapsed="false">
      <c r="A338" s="1" t="n">
        <v>337</v>
      </c>
      <c r="F338" s="9"/>
      <c r="K338" s="10"/>
      <c r="N338" s="10"/>
    </row>
    <row r="339" customFormat="false" ht="18.7" hidden="false" customHeight="true" outlineLevel="0" collapsed="false">
      <c r="A339" s="1" t="n">
        <v>338</v>
      </c>
      <c r="B339" s="7" t="str">
        <f aca="false">HYPERLINK("https://mncourtfraud.com/file/AMW-17.zip","AMW-17.zip")</f>
        <v>AMW-17.zip</v>
      </c>
      <c r="C339" s="8" t="str">
        <f aca="false">HYPERLINK("https://mncourtfraud.com/file/27-CR-17-1555.pdf","27-CR-17-1555")</f>
        <v>27-CR-17-1555</v>
      </c>
      <c r="D339" s="3" t="s">
        <v>172</v>
      </c>
      <c r="E339" s="8" t="str">
        <f aca="false">HYPERLINK("https://mncourtfraud.com/file/MCRO_27-CR-17-1555_Order Denying Motion_2024-04-11_20240430093537.pdf","MCRO_27-CR-17-1555_Order Denying Motion_2024-04-11_20240430093537.pdf")</f>
        <v>MCRO_27-CR-17-1555_Order Denying Motion_2024-04-11_20240430093537.pdf</v>
      </c>
      <c r="F339" s="9" t="n">
        <v>45393</v>
      </c>
      <c r="G339" s="1" t="s">
        <v>253</v>
      </c>
      <c r="H339" s="3" t="s">
        <v>254</v>
      </c>
      <c r="I339" s="3" t="s">
        <v>255</v>
      </c>
      <c r="J339" s="3" t="s">
        <v>145</v>
      </c>
      <c r="K339" s="10" t="s">
        <v>256</v>
      </c>
      <c r="L339" s="3" t="s">
        <v>257</v>
      </c>
      <c r="M339" s="3" t="s">
        <v>55</v>
      </c>
      <c r="N339" s="10" t="s">
        <v>258</v>
      </c>
      <c r="O339" s="3" t="s">
        <v>259</v>
      </c>
    </row>
    <row r="340" customFormat="false" ht="18.7" hidden="false" customHeight="true" outlineLevel="0" collapsed="false">
      <c r="A340" s="1" t="n">
        <v>339</v>
      </c>
      <c r="B340" s="7" t="str">
        <f aca="false">HYPERLINK("https://mncourtfraud.com/file/AMW-17.zip","AMW-17.zip")</f>
        <v>AMW-17.zip</v>
      </c>
      <c r="C340" s="8" t="str">
        <f aca="false">HYPERLINK("https://mncourtfraud.com/file/27-CR-17-8342.pdf","27-CR-17-8342")</f>
        <v>27-CR-17-8342</v>
      </c>
      <c r="D340" s="3" t="s">
        <v>172</v>
      </c>
      <c r="E340" s="8" t="str">
        <f aca="false">HYPERLINK("https://mncourtfraud.com/file/MCRO_27-CR-17-8342_Order Denying Motion_2024-04-11_20240430093632.pdf","MCRO_27-CR-17-8342_Order Denying Motion_2024-04-11_20240430093632.pdf")</f>
        <v>MCRO_27-CR-17-8342_Order Denying Motion_2024-04-11_20240430093632.pdf</v>
      </c>
      <c r="F340" s="9" t="n">
        <v>45393</v>
      </c>
      <c r="G340" s="1" t="s">
        <v>253</v>
      </c>
      <c r="H340" s="3" t="s">
        <v>254</v>
      </c>
      <c r="I340" s="3" t="s">
        <v>255</v>
      </c>
      <c r="J340" s="3" t="s">
        <v>145</v>
      </c>
      <c r="K340" s="10" t="s">
        <v>256</v>
      </c>
      <c r="L340" s="3" t="s">
        <v>257</v>
      </c>
      <c r="M340" s="3" t="s">
        <v>55</v>
      </c>
      <c r="N340" s="10" t="s">
        <v>258</v>
      </c>
      <c r="O340" s="3" t="s">
        <v>259</v>
      </c>
    </row>
    <row r="341" customFormat="false" ht="18.7" hidden="false" customHeight="true" outlineLevel="0" collapsed="false">
      <c r="A341" s="1" t="n">
        <v>340</v>
      </c>
      <c r="F341" s="9"/>
      <c r="K341" s="10"/>
      <c r="N341" s="10"/>
    </row>
    <row r="342" customFormat="false" ht="18.7" hidden="false" customHeight="true" outlineLevel="0" collapsed="false">
      <c r="A342" s="1" t="n">
        <v>341</v>
      </c>
      <c r="F342" s="9"/>
      <c r="K342" s="10"/>
      <c r="N342" s="10"/>
    </row>
    <row r="343" customFormat="false" ht="18.7" hidden="false" customHeight="true" outlineLevel="0" collapsed="false">
      <c r="A343" s="1" t="n">
        <v>342</v>
      </c>
      <c r="B343" s="7" t="str">
        <f aca="false">HYPERLINK("https://mncourtfraud.com/file/RAB-1.zip","RAB-1.zip")</f>
        <v>RAB-1.zip</v>
      </c>
      <c r="C343" s="8" t="str">
        <f aca="false">HYPERLINK("https://mncourtfraud.com/file/27-CR-20-6517.pdf","27-CR-20-6517")</f>
        <v>27-CR-20-6517</v>
      </c>
      <c r="D343" s="3" t="s">
        <v>260</v>
      </c>
      <c r="E343" s="8" t="str">
        <f aca="false">HYPERLINK("https://mncourtfraud.com/file/MCRO_27-CR-20-6517_Notice of Remote Hearing with Instructions_2022-02-22_20240430085212.pdf","MCRO_27-CR-20-6517_Notice of Remote Hearing with Instructions_2022-02-22_20240430085212.pdf")</f>
        <v>MCRO_27-CR-20-6517_Notice of Remote Hearing with Instructions_2022-02-22_20240430085212.pdf</v>
      </c>
      <c r="F343" s="9" t="n">
        <v>44614</v>
      </c>
      <c r="G343" s="1" t="s">
        <v>261</v>
      </c>
      <c r="H343" s="3" t="s">
        <v>262</v>
      </c>
      <c r="I343" s="3" t="s">
        <v>263</v>
      </c>
      <c r="K343" s="10"/>
      <c r="N343" s="10"/>
    </row>
    <row r="344" customFormat="false" ht="18.7" hidden="false" customHeight="true" outlineLevel="0" collapsed="false">
      <c r="A344" s="1" t="n">
        <v>343</v>
      </c>
      <c r="B344" s="7" t="str">
        <f aca="false">HYPERLINK("https://mncourtfraud.com/file/RAB-1.zip","RAB-1.zip")</f>
        <v>RAB-1.zip</v>
      </c>
      <c r="C344" s="8" t="str">
        <f aca="false">HYPERLINK("https://mncourtfraud.com/file/27-CR-21-23131.pdf","27-CR-21-23131")</f>
        <v>27-CR-21-23131</v>
      </c>
      <c r="D344" s="3" t="s">
        <v>260</v>
      </c>
      <c r="E344" s="8" t="str">
        <f aca="false">HYPERLINK("https://mncourtfraud.com/file/MCRO_27-CR-21-23131_Notice of Remote Hearing with Instructions_2022-02-22_20240430083656.pdf","MCRO_27-CR-21-23131_Notice of Remote Hearing with Instructions_2022-02-22_20240430083656.pdf")</f>
        <v>MCRO_27-CR-21-23131_Notice of Remote Hearing with Instructions_2022-02-22_20240430083656.pdf</v>
      </c>
      <c r="F344" s="9" t="n">
        <v>44614</v>
      </c>
      <c r="G344" s="1" t="s">
        <v>261</v>
      </c>
      <c r="H344" s="3" t="s">
        <v>262</v>
      </c>
      <c r="I344" s="3" t="s">
        <v>263</v>
      </c>
      <c r="K344" s="10"/>
      <c r="N344" s="10"/>
    </row>
    <row r="345" customFormat="false" ht="18.7" hidden="false" customHeight="true" outlineLevel="0" collapsed="false">
      <c r="A345" s="1" t="n">
        <v>344</v>
      </c>
      <c r="F345" s="9"/>
      <c r="K345" s="10"/>
      <c r="N345" s="10"/>
    </row>
    <row r="346" customFormat="false" ht="18.7" hidden="false" customHeight="true" outlineLevel="0" collapsed="false">
      <c r="A346" s="1" t="n">
        <v>345</v>
      </c>
      <c r="B346" s="7" t="str">
        <f aca="false">HYPERLINK("https://mncourtfraud.com/file/RAB-2.zip","RAB-2.zip")</f>
        <v>RAB-2.zip</v>
      </c>
      <c r="C346" s="8" t="str">
        <f aca="false">HYPERLINK("https://mncourtfraud.com/file/27-CR-20-6517.pdf","27-CR-20-6517")</f>
        <v>27-CR-20-6517</v>
      </c>
      <c r="D346" s="3" t="s">
        <v>260</v>
      </c>
      <c r="E346" s="8" t="str">
        <f aca="false">HYPERLINK("https://mncourtfraud.com/file/MCRO_27-CR-20-6517_Order-Evaluation for Competency to Proceed (Rule 20.01)_2022-06-21_20240430085211.pdf","MCRO_27-CR-20-6517_Order-Evaluation for Competency to Proceed (Rule 20.01)_2022-06-21_20240430085211.pdf")</f>
        <v>MCRO_27-CR-20-6517_Order-Evaluation for Competency to Proceed (Rule 20.01)_2022-06-21_20240430085211.pdf</v>
      </c>
      <c r="F346" s="9" t="n">
        <v>44733</v>
      </c>
      <c r="G346" s="1" t="s">
        <v>264</v>
      </c>
      <c r="H346" s="3" t="s">
        <v>265</v>
      </c>
      <c r="I346" s="3" t="s">
        <v>266</v>
      </c>
      <c r="J346" s="3" t="s">
        <v>267</v>
      </c>
      <c r="K346" s="10" t="s">
        <v>268</v>
      </c>
      <c r="L346" s="3" t="s">
        <v>269</v>
      </c>
      <c r="N346" s="10"/>
    </row>
    <row r="347" customFormat="false" ht="18.7" hidden="false" customHeight="true" outlineLevel="0" collapsed="false">
      <c r="A347" s="1" t="n">
        <v>346</v>
      </c>
      <c r="B347" s="7" t="str">
        <f aca="false">HYPERLINK("https://mncourtfraud.com/file/RAB-2.zip","RAB-2.zip")</f>
        <v>RAB-2.zip</v>
      </c>
      <c r="C347" s="8" t="str">
        <f aca="false">HYPERLINK("https://mncourtfraud.com/file/27-CR-21-23131.pdf","27-CR-21-23131")</f>
        <v>27-CR-21-23131</v>
      </c>
      <c r="D347" s="3" t="s">
        <v>260</v>
      </c>
      <c r="E347" s="8" t="str">
        <f aca="false">HYPERLINK("https://mncourtfraud.com/file/MCRO_27-CR-21-23131_Order-Evaluation for Competency to Proceed (Rule 20.01)_2022-06-21_20240430083653.pdf","MCRO_27-CR-21-23131_Order-Evaluation for Competency to Proceed (Rule 20.01)_2022-06-21_20240430083653.pdf")</f>
        <v>MCRO_27-CR-21-23131_Order-Evaluation for Competency to Proceed (Rule 20.01)_2022-06-21_20240430083653.pdf</v>
      </c>
      <c r="F347" s="9" t="n">
        <v>44733</v>
      </c>
      <c r="G347" s="1" t="s">
        <v>264</v>
      </c>
      <c r="H347" s="3" t="s">
        <v>265</v>
      </c>
      <c r="I347" s="3" t="s">
        <v>266</v>
      </c>
      <c r="J347" s="3" t="s">
        <v>267</v>
      </c>
      <c r="K347" s="10" t="s">
        <v>268</v>
      </c>
      <c r="L347" s="3" t="s">
        <v>269</v>
      </c>
      <c r="N347" s="10"/>
    </row>
    <row r="348" customFormat="false" ht="18.7" hidden="false" customHeight="true" outlineLevel="0" collapsed="false">
      <c r="A348" s="1" t="n">
        <v>347</v>
      </c>
      <c r="F348" s="9"/>
      <c r="K348" s="10"/>
      <c r="N348" s="10"/>
    </row>
    <row r="349" customFormat="false" ht="18.7" hidden="false" customHeight="true" outlineLevel="0" collapsed="false">
      <c r="A349" s="1" t="n">
        <v>348</v>
      </c>
      <c r="B349" s="7" t="str">
        <f aca="false">HYPERLINK("https://mncourtfraud.com/file/RAB-3.zip","RAB-3.zip")</f>
        <v>RAB-3.zip</v>
      </c>
      <c r="C349" s="8" t="str">
        <f aca="false">HYPERLINK("https://mncourtfraud.com/file/27-CR-20-6517.pdf","27-CR-20-6517")</f>
        <v>27-CR-20-6517</v>
      </c>
      <c r="D349" s="3" t="s">
        <v>260</v>
      </c>
      <c r="E349" s="8" t="str">
        <f aca="false">HYPERLINK("https://mncourtfraud.com/file/MCRO_27-CR-20-6517_Findings and Order_2022-09-06_20240430085210.pdf","MCRO_27-CR-20-6517_Findings and Order_2022-09-06_20240430085210.pdf")</f>
        <v>MCRO_27-CR-20-6517_Findings and Order_2022-09-06_20240430085210.pdf</v>
      </c>
      <c r="F349" s="9" t="n">
        <v>44810</v>
      </c>
      <c r="G349" s="1" t="s">
        <v>270</v>
      </c>
      <c r="H349" s="3" t="s">
        <v>271</v>
      </c>
      <c r="I349" s="3" t="s">
        <v>272</v>
      </c>
      <c r="J349" s="3" t="s">
        <v>43</v>
      </c>
      <c r="K349" s="10" t="s">
        <v>273</v>
      </c>
      <c r="L349" s="3" t="s">
        <v>274</v>
      </c>
      <c r="N349" s="10"/>
    </row>
    <row r="350" customFormat="false" ht="18.7" hidden="false" customHeight="true" outlineLevel="0" collapsed="false">
      <c r="A350" s="1" t="n">
        <v>349</v>
      </c>
      <c r="B350" s="7" t="str">
        <f aca="false">HYPERLINK("https://mncourtfraud.com/file/RAB-3.zip","RAB-3.zip")</f>
        <v>RAB-3.zip</v>
      </c>
      <c r="C350" s="8" t="str">
        <f aca="false">HYPERLINK("https://mncourtfraud.com/file/27-CR-21-23131.pdf","27-CR-21-23131")</f>
        <v>27-CR-21-23131</v>
      </c>
      <c r="D350" s="3" t="s">
        <v>260</v>
      </c>
      <c r="E350" s="8" t="str">
        <f aca="false">HYPERLINK("https://mncourtfraud.com/file/MCRO_27-CR-21-23131_Findings and Order_2022-09-06_20240430083652.pdf","MCRO_27-CR-21-23131_Findings and Order_2022-09-06_20240430083652.pdf")</f>
        <v>MCRO_27-CR-21-23131_Findings and Order_2022-09-06_20240430083652.pdf</v>
      </c>
      <c r="F350" s="9" t="n">
        <v>44810</v>
      </c>
      <c r="G350" s="1" t="s">
        <v>270</v>
      </c>
      <c r="H350" s="3" t="s">
        <v>271</v>
      </c>
      <c r="I350" s="3" t="s">
        <v>272</v>
      </c>
      <c r="J350" s="3" t="s">
        <v>43</v>
      </c>
      <c r="K350" s="10" t="s">
        <v>273</v>
      </c>
      <c r="L350" s="3" t="s">
        <v>274</v>
      </c>
      <c r="N350" s="10"/>
    </row>
    <row r="351" customFormat="false" ht="18.7" hidden="false" customHeight="true" outlineLevel="0" collapsed="false">
      <c r="A351" s="1" t="n">
        <v>350</v>
      </c>
      <c r="F351" s="9"/>
      <c r="K351" s="10"/>
      <c r="N351" s="10"/>
    </row>
    <row r="352" customFormat="false" ht="18.7" hidden="false" customHeight="true" outlineLevel="0" collapsed="false">
      <c r="A352" s="1" t="n">
        <v>351</v>
      </c>
      <c r="B352" s="7" t="str">
        <f aca="false">HYPERLINK("https://mncourtfraud.com/file/RAB-4.zip","RAB-4.zip")</f>
        <v>RAB-4.zip</v>
      </c>
      <c r="C352" s="8" t="str">
        <f aca="false">HYPERLINK("https://mncourtfraud.com/file/27-CR-20-6517.pdf","27-CR-20-6517")</f>
        <v>27-CR-20-6517</v>
      </c>
      <c r="D352" s="3" t="s">
        <v>260</v>
      </c>
      <c r="E352" s="8" t="str">
        <f aca="false">HYPERLINK("https://mncourtfraud.com/file/MCRO_27-CR-20-6517_Order-Evaluation for Competency to Proceed (Rule 20.01)_2022-12-30_20240430085209.pdf","MCRO_27-CR-20-6517_Order-Evaluation for Competency to Proceed (Rule 20.01)_2022-12-30_20240430085209.pdf")</f>
        <v>MCRO_27-CR-20-6517_Order-Evaluation for Competency to Proceed (Rule 20.01)_2022-12-30_20240430085209.pdf</v>
      </c>
      <c r="F352" s="9" t="n">
        <v>44925</v>
      </c>
      <c r="G352" s="1" t="s">
        <v>275</v>
      </c>
      <c r="H352" s="3" t="s">
        <v>276</v>
      </c>
      <c r="I352" s="3" t="s">
        <v>277</v>
      </c>
      <c r="J352" s="3" t="s">
        <v>64</v>
      </c>
      <c r="K352" s="10" t="s">
        <v>278</v>
      </c>
      <c r="L352" s="3" t="s">
        <v>279</v>
      </c>
      <c r="N352" s="10"/>
    </row>
    <row r="353" customFormat="false" ht="18.7" hidden="false" customHeight="true" outlineLevel="0" collapsed="false">
      <c r="A353" s="1" t="n">
        <v>352</v>
      </c>
      <c r="B353" s="7" t="str">
        <f aca="false">HYPERLINK("https://mncourtfraud.com/file/RAB-4.zip","RAB-4.zip")</f>
        <v>RAB-4.zip</v>
      </c>
      <c r="C353" s="8" t="str">
        <f aca="false">HYPERLINK("https://mncourtfraud.com/file/27-CR-21-23131.pdf","27-CR-21-23131")</f>
        <v>27-CR-21-23131</v>
      </c>
      <c r="D353" s="3" t="s">
        <v>260</v>
      </c>
      <c r="E353" s="8" t="str">
        <f aca="false">HYPERLINK("https://mncourtfraud.com/file/MCRO_27-CR-21-23131_Order-Evaluation for Competency to Proceed (Rule 20.01)_2022-12-30_20240430083651.pdf","MCRO_27-CR-21-23131_Order-Evaluation for Competency to Proceed (Rule 20.01)_2022-12-30_20240430083651.pdf")</f>
        <v>MCRO_27-CR-21-23131_Order-Evaluation for Competency to Proceed (Rule 20.01)_2022-12-30_20240430083651.pdf</v>
      </c>
      <c r="F353" s="9" t="n">
        <v>44925</v>
      </c>
      <c r="G353" s="1" t="s">
        <v>275</v>
      </c>
      <c r="H353" s="3" t="s">
        <v>276</v>
      </c>
      <c r="I353" s="3" t="s">
        <v>277</v>
      </c>
      <c r="J353" s="3" t="s">
        <v>64</v>
      </c>
      <c r="K353" s="10" t="s">
        <v>278</v>
      </c>
      <c r="L353" s="3" t="s">
        <v>279</v>
      </c>
      <c r="N353" s="10"/>
    </row>
    <row r="354" customFormat="false" ht="18.7" hidden="false" customHeight="true" outlineLevel="0" collapsed="false">
      <c r="A354" s="1" t="n">
        <v>353</v>
      </c>
      <c r="B354" s="7" t="str">
        <f aca="false">HYPERLINK("https://mncourtfraud.com/file/RAB-4.zip","RAB-4.zip")</f>
        <v>RAB-4.zip</v>
      </c>
      <c r="C354" s="8" t="str">
        <f aca="false">HYPERLINK("https://mncourtfraud.com/file/27-CR-22-24627.pdf","27-CR-22-24627")</f>
        <v>27-CR-22-24627</v>
      </c>
      <c r="D354" s="3" t="s">
        <v>260</v>
      </c>
      <c r="E354" s="8" t="str">
        <f aca="false">HYPERLINK("https://mncourtfraud.com/file/MCRO_27-CR-22-24627_Order-Evaluation for Competency to Proceed (Rule 20.01)_2022-12-30_20240429164400.pdf","MCRO_27-CR-22-24627_Order-Evaluation for Competency to Proceed (Rule 20.01)_2022-12-30_20240429164400.pdf")</f>
        <v>MCRO_27-CR-22-24627_Order-Evaluation for Competency to Proceed (Rule 20.01)_2022-12-30_20240429164400.pdf</v>
      </c>
      <c r="F354" s="9" t="n">
        <v>44925</v>
      </c>
      <c r="G354" s="1" t="s">
        <v>275</v>
      </c>
      <c r="H354" s="3" t="s">
        <v>276</v>
      </c>
      <c r="I354" s="3" t="s">
        <v>277</v>
      </c>
      <c r="J354" s="3" t="s">
        <v>64</v>
      </c>
      <c r="K354" s="10" t="s">
        <v>278</v>
      </c>
      <c r="L354" s="3" t="s">
        <v>279</v>
      </c>
      <c r="N354" s="10"/>
    </row>
    <row r="355" customFormat="false" ht="18.7" hidden="false" customHeight="true" outlineLevel="0" collapsed="false">
      <c r="A355" s="1" t="n">
        <v>354</v>
      </c>
      <c r="F355" s="9"/>
      <c r="K355" s="10"/>
      <c r="N355" s="10"/>
    </row>
    <row r="356" customFormat="false" ht="18.7" hidden="false" customHeight="true" outlineLevel="0" collapsed="false">
      <c r="A356" s="1" t="n">
        <v>355</v>
      </c>
      <c r="B356" s="7" t="str">
        <f aca="false">HYPERLINK("https://mncourtfraud.com/file/RAB-5.zip","RAB-5.zip")</f>
        <v>RAB-5.zip</v>
      </c>
      <c r="C356" s="8" t="str">
        <f aca="false">HYPERLINK("https://mncourtfraud.com/file/27-CR-22-24627.pdf","27-CR-22-24627")</f>
        <v>27-CR-22-24627</v>
      </c>
      <c r="D356" s="3" t="s">
        <v>260</v>
      </c>
      <c r="E356" s="8" t="str">
        <f aca="false">HYPERLINK("https://mncourtfraud.com/file/MCRO_27-CR-22-24627_Order Revoking Interim Conditions of Release_2023-01-03_20240429164357.pdf","MCRO_27-CR-22-24627_Order Revoking Interim Conditions of Release_2023-01-03_20240429164357.pdf")</f>
        <v>MCRO_27-CR-22-24627_Order Revoking Interim Conditions of Release_2023-01-03_20240429164357.pdf</v>
      </c>
      <c r="F356" s="9" t="n">
        <v>44929</v>
      </c>
      <c r="G356" s="1" t="s">
        <v>280</v>
      </c>
      <c r="H356" s="3" t="s">
        <v>281</v>
      </c>
      <c r="I356" s="3" t="s">
        <v>282</v>
      </c>
      <c r="K356" s="10"/>
      <c r="N356" s="10"/>
    </row>
    <row r="357" customFormat="false" ht="18.7" hidden="false" customHeight="true" outlineLevel="0" collapsed="false">
      <c r="A357" s="1" t="n">
        <v>356</v>
      </c>
      <c r="B357" s="7" t="str">
        <f aca="false">HYPERLINK("https://mncourtfraud.com/file/RAB-5.zip","RAB-5.zip")</f>
        <v>RAB-5.zip</v>
      </c>
      <c r="C357" s="8" t="str">
        <f aca="false">HYPERLINK("https://mncourtfraud.com/file/27-CR-22-24627.pdf","27-CR-22-24627")</f>
        <v>27-CR-22-24627</v>
      </c>
      <c r="D357" s="3" t="s">
        <v>260</v>
      </c>
      <c r="E357" s="8" t="str">
        <f aca="false">HYPERLINK("https://mncourtfraud.com/file/MCRO_27-CR-22-24627_Proposed Order or Document_2023-01-03_20240429164358.pdf","MCRO_27-CR-22-24627_Proposed Order or Document_2023-01-03_20240429164358.pdf")</f>
        <v>MCRO_27-CR-22-24627_Proposed Order or Document_2023-01-03_20240429164358.pdf</v>
      </c>
      <c r="F357" s="9" t="n">
        <v>44929</v>
      </c>
      <c r="G357" s="1" t="s">
        <v>280</v>
      </c>
      <c r="H357" s="3" t="s">
        <v>281</v>
      </c>
      <c r="I357" s="3" t="s">
        <v>283</v>
      </c>
      <c r="K357" s="10"/>
      <c r="N357" s="10"/>
    </row>
    <row r="358" customFormat="false" ht="18.7" hidden="false" customHeight="true" outlineLevel="0" collapsed="false">
      <c r="A358" s="1" t="n">
        <v>357</v>
      </c>
      <c r="F358" s="9"/>
      <c r="K358" s="10"/>
      <c r="N358" s="10"/>
    </row>
    <row r="359" customFormat="false" ht="18.7" hidden="false" customHeight="true" outlineLevel="0" collapsed="false">
      <c r="A359" s="1" t="n">
        <v>358</v>
      </c>
      <c r="B359" s="7" t="str">
        <f aca="false">HYPERLINK("https://mncourtfraud.com/file/RAB-6.zip","RAB-6.zip")</f>
        <v>RAB-6.zip</v>
      </c>
      <c r="C359" s="8" t="str">
        <f aca="false">HYPERLINK("https://mncourtfraud.com/file/27-CR-20-6517.pdf","27-CR-20-6517")</f>
        <v>27-CR-20-6517</v>
      </c>
      <c r="D359" s="3" t="s">
        <v>260</v>
      </c>
      <c r="E359" s="8" t="str">
        <f aca="false">HYPERLINK("https://mncourtfraud.com/file/MCRO_27-CR-20-6517_Finding of Incompetency and Order_2023-03-08_20240430085208.pdf","MCRO_27-CR-20-6517_Finding of Incompetency and Order_2023-03-08_20240430085208.pdf")</f>
        <v>MCRO_27-CR-20-6517_Finding of Incompetency and Order_2023-03-08_20240430085208.pdf</v>
      </c>
      <c r="F359" s="9" t="n">
        <v>44993</v>
      </c>
      <c r="G359" s="1" t="s">
        <v>284</v>
      </c>
      <c r="H359" s="3" t="s">
        <v>285</v>
      </c>
      <c r="I359" s="3" t="s">
        <v>286</v>
      </c>
      <c r="J359" s="3" t="s">
        <v>55</v>
      </c>
      <c r="K359" s="10" t="s">
        <v>287</v>
      </c>
      <c r="L359" s="3" t="s">
        <v>288</v>
      </c>
      <c r="N359" s="10"/>
    </row>
    <row r="360" customFormat="false" ht="18.7" hidden="false" customHeight="true" outlineLevel="0" collapsed="false">
      <c r="A360" s="1" t="n">
        <v>359</v>
      </c>
      <c r="B360" s="7" t="str">
        <f aca="false">HYPERLINK("https://mncourtfraud.com/file/RAB-6.zip","RAB-6.zip")</f>
        <v>RAB-6.zip</v>
      </c>
      <c r="C360" s="8" t="str">
        <f aca="false">HYPERLINK("https://mncourtfraud.com/file/27-CR-21-23131.pdf","27-CR-21-23131")</f>
        <v>27-CR-21-23131</v>
      </c>
      <c r="D360" s="3" t="s">
        <v>260</v>
      </c>
      <c r="E360" s="8" t="str">
        <f aca="false">HYPERLINK("https://mncourtfraud.com/file/MCRO_27-CR-21-23131_Finding of Incompetency and Order_2023-03-08_20240430083650.pdf","MCRO_27-CR-21-23131_Finding of Incompetency and Order_2023-03-08_20240430083650.pdf")</f>
        <v>MCRO_27-CR-21-23131_Finding of Incompetency and Order_2023-03-08_20240430083650.pdf</v>
      </c>
      <c r="F360" s="9" t="n">
        <v>44993</v>
      </c>
      <c r="G360" s="1" t="s">
        <v>284</v>
      </c>
      <c r="H360" s="3" t="s">
        <v>285</v>
      </c>
      <c r="I360" s="3" t="s">
        <v>286</v>
      </c>
      <c r="J360" s="3" t="s">
        <v>55</v>
      </c>
      <c r="K360" s="10" t="s">
        <v>287</v>
      </c>
      <c r="L360" s="3" t="s">
        <v>288</v>
      </c>
      <c r="N360" s="10"/>
    </row>
    <row r="361" customFormat="false" ht="18.7" hidden="false" customHeight="true" outlineLevel="0" collapsed="false">
      <c r="A361" s="1" t="n">
        <v>360</v>
      </c>
      <c r="B361" s="7" t="str">
        <f aca="false">HYPERLINK("https://mncourtfraud.com/file/RAB-6.zip","RAB-6.zip")</f>
        <v>RAB-6.zip</v>
      </c>
      <c r="C361" s="8" t="str">
        <f aca="false">HYPERLINK("https://mncourtfraud.com/file/27-CR-22-24627.pdf","27-CR-22-24627")</f>
        <v>27-CR-22-24627</v>
      </c>
      <c r="D361" s="3" t="s">
        <v>260</v>
      </c>
      <c r="E361" s="8" t="str">
        <f aca="false">HYPERLINK("https://mncourtfraud.com/file/MCRO_27-CR-22-24627_Finding of Incompetency and Order_2023-03-08_20240429164355.pdf","MCRO_27-CR-22-24627_Finding of Incompetency and Order_2023-03-08_20240429164355.pdf")</f>
        <v>MCRO_27-CR-22-24627_Finding of Incompetency and Order_2023-03-08_20240429164355.pdf</v>
      </c>
      <c r="F361" s="9" t="n">
        <v>44993</v>
      </c>
      <c r="G361" s="1" t="s">
        <v>284</v>
      </c>
      <c r="H361" s="3" t="s">
        <v>285</v>
      </c>
      <c r="I361" s="3" t="s">
        <v>286</v>
      </c>
      <c r="J361" s="3" t="s">
        <v>55</v>
      </c>
      <c r="K361" s="10" t="s">
        <v>287</v>
      </c>
      <c r="L361" s="3" t="s">
        <v>288</v>
      </c>
      <c r="N361" s="10"/>
    </row>
    <row r="362" customFormat="false" ht="18.7" hidden="false" customHeight="true" outlineLevel="0" collapsed="false">
      <c r="A362" s="1" t="n">
        <v>361</v>
      </c>
      <c r="F362" s="9"/>
      <c r="K362" s="10"/>
      <c r="N362" s="10"/>
    </row>
    <row r="363" customFormat="false" ht="18.7" hidden="false" customHeight="true" outlineLevel="0" collapsed="false">
      <c r="A363" s="1" t="n">
        <v>362</v>
      </c>
      <c r="B363" s="7" t="str">
        <f aca="false">HYPERLINK("https://mncourtfraud.com/file/RAB-7.zip","RAB-7.zip")</f>
        <v>RAB-7.zip</v>
      </c>
      <c r="C363" s="8" t="str">
        <f aca="false">HYPERLINK("https://mncourtfraud.com/file/27-CR-21-23131.pdf","27-CR-21-23131")</f>
        <v>27-CR-21-23131</v>
      </c>
      <c r="D363" s="3" t="s">
        <v>260</v>
      </c>
      <c r="E363" s="8" t="str">
        <f aca="false">HYPERLINK("https://mncourtfraud.com/file/MCRO_27-CR-21-23131_Order-Evaluation for Competency to Proceed (Rule 20.01)_2023-06-28_20240430083647.pdf","MCRO_27-CR-21-23131_Order-Evaluation for Competency to Proceed (Rule 20.01)_2023-06-28_20240430083647.pdf")</f>
        <v>MCRO_27-CR-21-23131_Order-Evaluation for Competency to Proceed (Rule 20.01)_2023-06-28_20240430083647.pdf</v>
      </c>
      <c r="F363" s="9" t="n">
        <v>45105</v>
      </c>
      <c r="G363" s="1" t="s">
        <v>289</v>
      </c>
      <c r="H363" s="3" t="s">
        <v>290</v>
      </c>
      <c r="I363" s="3" t="s">
        <v>291</v>
      </c>
      <c r="J363" s="3" t="s">
        <v>64</v>
      </c>
      <c r="K363" s="10" t="s">
        <v>292</v>
      </c>
      <c r="L363" s="3" t="s">
        <v>293</v>
      </c>
      <c r="N363" s="10"/>
    </row>
    <row r="364" customFormat="false" ht="18.7" hidden="false" customHeight="true" outlineLevel="0" collapsed="false">
      <c r="A364" s="1" t="n">
        <v>363</v>
      </c>
      <c r="B364" s="7" t="str">
        <f aca="false">HYPERLINK("https://mncourtfraud.com/file/RAB-7.zip","RAB-7.zip")</f>
        <v>RAB-7.zip</v>
      </c>
      <c r="C364" s="8" t="str">
        <f aca="false">HYPERLINK("https://mncourtfraud.com/file/27-CR-22-24627.pdf","27-CR-22-24627")</f>
        <v>27-CR-22-24627</v>
      </c>
      <c r="D364" s="3" t="s">
        <v>260</v>
      </c>
      <c r="E364" s="8" t="str">
        <f aca="false">HYPERLINK("https://mncourtfraud.com/file/MCRO_27-CR-22-24627_Order-Evaluation for Competency to Proceed (Rule 20.01)_2023-06-28_20240429164353.pdf","MCRO_27-CR-22-24627_Order-Evaluation for Competency to Proceed (Rule 20.01)_2023-06-28_20240429164353.pdf")</f>
        <v>MCRO_27-CR-22-24627_Order-Evaluation for Competency to Proceed (Rule 20.01)_2023-06-28_20240429164353.pdf</v>
      </c>
      <c r="F364" s="9" t="n">
        <v>45105</v>
      </c>
      <c r="G364" s="1" t="s">
        <v>289</v>
      </c>
      <c r="H364" s="3" t="s">
        <v>290</v>
      </c>
      <c r="I364" s="3" t="s">
        <v>291</v>
      </c>
      <c r="J364" s="3" t="s">
        <v>64</v>
      </c>
      <c r="K364" s="10" t="s">
        <v>292</v>
      </c>
      <c r="L364" s="3" t="s">
        <v>293</v>
      </c>
      <c r="N364" s="10"/>
    </row>
    <row r="365" customFormat="false" ht="18.7" hidden="false" customHeight="true" outlineLevel="0" collapsed="false">
      <c r="A365" s="1" t="n">
        <v>364</v>
      </c>
      <c r="F365" s="9"/>
      <c r="K365" s="10"/>
      <c r="N365" s="10"/>
    </row>
    <row r="366" customFormat="false" ht="18.7" hidden="false" customHeight="true" outlineLevel="0" collapsed="false">
      <c r="A366" s="1" t="n">
        <v>365</v>
      </c>
      <c r="B366" s="7" t="str">
        <f aca="false">HYPERLINK("https://mncourtfraud.com/file/RAB-8.zip","RAB-8.zip")</f>
        <v>RAB-8.zip</v>
      </c>
      <c r="C366" s="8" t="str">
        <f aca="false">HYPERLINK("https://mncourtfraud.com/file/27-CR-21-23131.pdf","27-CR-21-23131")</f>
        <v>27-CR-21-23131</v>
      </c>
      <c r="D366" s="3" t="s">
        <v>260</v>
      </c>
      <c r="E366" s="8" t="str">
        <f aca="false">HYPERLINK("https://mncourtfraud.com/file/MCRO_27-CR-21-23131_Notice of Remote Hearing with Instructions_2023-09-05_20240430083645.pdf","MCRO_27-CR-21-23131_Notice of Remote Hearing with Instructions_2023-09-05_20240430083645.pdf")</f>
        <v>MCRO_27-CR-21-23131_Notice of Remote Hearing with Instructions_2023-09-05_20240430083645.pdf</v>
      </c>
      <c r="F366" s="9" t="n">
        <v>45174</v>
      </c>
      <c r="G366" s="1" t="s">
        <v>294</v>
      </c>
      <c r="H366" s="3" t="s">
        <v>295</v>
      </c>
      <c r="I366" s="3" t="s">
        <v>296</v>
      </c>
      <c r="K366" s="10"/>
      <c r="N366" s="10"/>
    </row>
    <row r="367" customFormat="false" ht="18.7" hidden="false" customHeight="true" outlineLevel="0" collapsed="false">
      <c r="A367" s="1" t="n">
        <v>366</v>
      </c>
      <c r="B367" s="7" t="str">
        <f aca="false">HYPERLINK("https://mncourtfraud.com/file/RAB-8.zip","RAB-8.zip")</f>
        <v>RAB-8.zip</v>
      </c>
      <c r="C367" s="8" t="str">
        <f aca="false">HYPERLINK("https://mncourtfraud.com/file/27-CR-22-24627.pdf","27-CR-22-24627")</f>
        <v>27-CR-22-24627</v>
      </c>
      <c r="D367" s="3" t="s">
        <v>260</v>
      </c>
      <c r="E367" s="8" t="str">
        <f aca="false">HYPERLINK("https://mncourtfraud.com/file/MCRO_27-CR-22-24627_Notice of Remote Hearing with Instructions_2023-09-05_20240429164352.pdf","MCRO_27-CR-22-24627_Notice of Remote Hearing with Instructions_2023-09-05_20240429164352.pdf")</f>
        <v>MCRO_27-CR-22-24627_Notice of Remote Hearing with Instructions_2023-09-05_20240429164352.pdf</v>
      </c>
      <c r="F367" s="9" t="n">
        <v>45174</v>
      </c>
      <c r="G367" s="1" t="s">
        <v>294</v>
      </c>
      <c r="H367" s="3" t="s">
        <v>295</v>
      </c>
      <c r="I367" s="3" t="s">
        <v>296</v>
      </c>
      <c r="K367" s="10"/>
      <c r="N367" s="10"/>
    </row>
    <row r="368" customFormat="false" ht="18.7" hidden="false" customHeight="true" outlineLevel="0" collapsed="false">
      <c r="A368" s="1" t="n">
        <v>367</v>
      </c>
      <c r="F368" s="9"/>
      <c r="K368" s="10"/>
      <c r="N368" s="10"/>
    </row>
    <row r="369" customFormat="false" ht="18.7" hidden="false" customHeight="true" outlineLevel="0" collapsed="false">
      <c r="A369" s="1" t="n">
        <v>368</v>
      </c>
      <c r="B369" s="7" t="str">
        <f aca="false">HYPERLINK("https://mncourtfraud.com/file/RAB-9.zip","RAB-9.zip")</f>
        <v>RAB-9.zip</v>
      </c>
      <c r="C369" s="8" t="str">
        <f aca="false">HYPERLINK("https://mncourtfraud.com/file/27-CR-21-23131.pdf","27-CR-21-23131")</f>
        <v>27-CR-21-23131</v>
      </c>
      <c r="D369" s="3" t="s">
        <v>260</v>
      </c>
      <c r="E369" s="8" t="str">
        <f aca="false">HYPERLINK("https://mncourtfraud.com/file/MCRO_27-CR-21-23131_Notice of Hearing_2023-09-14_20240430083644.pdf","MCRO_27-CR-21-23131_Notice of Hearing_2023-09-14_20240430083644.pdf")</f>
        <v>MCRO_27-CR-21-23131_Notice of Hearing_2023-09-14_20240430083644.pdf</v>
      </c>
      <c r="F369" s="9" t="n">
        <v>45183</v>
      </c>
      <c r="G369" s="1" t="s">
        <v>297</v>
      </c>
      <c r="H369" s="3" t="s">
        <v>298</v>
      </c>
      <c r="I369" s="3" t="s">
        <v>299</v>
      </c>
      <c r="K369" s="10"/>
      <c r="N369" s="10"/>
    </row>
    <row r="370" customFormat="false" ht="18.7" hidden="false" customHeight="true" outlineLevel="0" collapsed="false">
      <c r="A370" s="1" t="n">
        <v>369</v>
      </c>
      <c r="B370" s="7" t="str">
        <f aca="false">HYPERLINK("https://mncourtfraud.com/file/RAB-9.zip","RAB-9.zip")</f>
        <v>RAB-9.zip</v>
      </c>
      <c r="C370" s="8" t="str">
        <f aca="false">HYPERLINK("https://mncourtfraud.com/file/27-CR-22-24627.pdf","27-CR-22-24627")</f>
        <v>27-CR-22-24627</v>
      </c>
      <c r="D370" s="3" t="s">
        <v>260</v>
      </c>
      <c r="E370" s="8" t="str">
        <f aca="false">HYPERLINK("https://mncourtfraud.com/file/MCRO_27-CR-22-24627_Notice of Hearing_2023-09-14_20240429164351.pdf","MCRO_27-CR-22-24627_Notice of Hearing_2023-09-14_20240429164351.pdf")</f>
        <v>MCRO_27-CR-22-24627_Notice of Hearing_2023-09-14_20240429164351.pdf</v>
      </c>
      <c r="F370" s="9" t="n">
        <v>45183</v>
      </c>
      <c r="G370" s="1" t="s">
        <v>297</v>
      </c>
      <c r="H370" s="3" t="s">
        <v>298</v>
      </c>
      <c r="I370" s="3" t="s">
        <v>299</v>
      </c>
      <c r="K370" s="10"/>
      <c r="N370" s="10"/>
    </row>
    <row r="371" customFormat="false" ht="18.7" hidden="false" customHeight="true" outlineLevel="0" collapsed="false">
      <c r="A371" s="1" t="n">
        <v>370</v>
      </c>
      <c r="F371" s="9"/>
      <c r="K371" s="10"/>
      <c r="N371" s="10"/>
    </row>
    <row r="372" customFormat="false" ht="18.7" hidden="false" customHeight="true" outlineLevel="0" collapsed="false">
      <c r="A372" s="1" t="n">
        <v>371</v>
      </c>
      <c r="B372" s="7" t="str">
        <f aca="false">HYPERLINK("https://mncourtfraud.com/file/RAB-10.zip","RAB-10.zip")</f>
        <v>RAB-10.zip</v>
      </c>
      <c r="C372" s="8" t="str">
        <f aca="false">HYPERLINK("https://mncourtfraud.com/file/27-CR-21-23131.pdf","27-CR-21-23131")</f>
        <v>27-CR-21-23131</v>
      </c>
      <c r="D372" s="3" t="s">
        <v>260</v>
      </c>
      <c r="E372" s="8" t="str">
        <f aca="false">HYPERLINK("https://mncourtfraud.com/file/MCRO_27-CR-21-23131_Notice of Hearing_2023-11-29_20240430083641.pdf","MCRO_27-CR-21-23131_Notice of Hearing_2023-11-29_20240430083641.pdf")</f>
        <v>MCRO_27-CR-21-23131_Notice of Hearing_2023-11-29_20240430083641.pdf</v>
      </c>
      <c r="F372" s="9" t="n">
        <v>45259</v>
      </c>
      <c r="G372" s="1" t="s">
        <v>300</v>
      </c>
      <c r="H372" s="3" t="s">
        <v>301</v>
      </c>
      <c r="I372" s="3" t="s">
        <v>302</v>
      </c>
      <c r="K372" s="10"/>
      <c r="N372" s="10"/>
    </row>
    <row r="373" customFormat="false" ht="18.7" hidden="false" customHeight="true" outlineLevel="0" collapsed="false">
      <c r="A373" s="1" t="n">
        <v>372</v>
      </c>
      <c r="B373" s="7" t="str">
        <f aca="false">HYPERLINK("https://mncourtfraud.com/file/RAB-10.zip","RAB-10.zip")</f>
        <v>RAB-10.zip</v>
      </c>
      <c r="C373" s="8" t="str">
        <f aca="false">HYPERLINK("https://mncourtfraud.com/file/27-CR-22-24627.pdf","27-CR-22-24627")</f>
        <v>27-CR-22-24627</v>
      </c>
      <c r="D373" s="3" t="s">
        <v>260</v>
      </c>
      <c r="E373" s="8" t="str">
        <f aca="false">HYPERLINK("https://mncourtfraud.com/file/MCRO_27-CR-22-24627_Notice of Hearing_2023-11-29_20240429164348.pdf","MCRO_27-CR-22-24627_Notice of Hearing_2023-11-29_20240429164348.pdf")</f>
        <v>MCRO_27-CR-22-24627_Notice of Hearing_2023-11-29_20240429164348.pdf</v>
      </c>
      <c r="F373" s="9" t="n">
        <v>45259</v>
      </c>
      <c r="G373" s="1" t="s">
        <v>300</v>
      </c>
      <c r="H373" s="3" t="s">
        <v>301</v>
      </c>
      <c r="I373" s="3" t="s">
        <v>302</v>
      </c>
      <c r="K373" s="10"/>
      <c r="N373" s="10"/>
    </row>
    <row r="374" customFormat="false" ht="18.7" hidden="false" customHeight="true" outlineLevel="0" collapsed="false">
      <c r="A374" s="1" t="n">
        <v>373</v>
      </c>
      <c r="F374" s="9"/>
      <c r="K374" s="10"/>
      <c r="N374" s="10"/>
    </row>
    <row r="375" customFormat="false" ht="18.7" hidden="false" customHeight="true" outlineLevel="0" collapsed="false">
      <c r="A375" s="1" t="n">
        <v>374</v>
      </c>
      <c r="B375" s="7" t="str">
        <f aca="false">HYPERLINK("https://mncourtfraud.com/file/RAB-11.zip","RAB-11.zip")</f>
        <v>RAB-11.zip</v>
      </c>
      <c r="C375" s="8" t="str">
        <f aca="false">HYPERLINK("https://mncourtfraud.com/file/27-CR-21-23131.pdf","27-CR-21-23131")</f>
        <v>27-CR-21-23131</v>
      </c>
      <c r="D375" s="3" t="s">
        <v>260</v>
      </c>
      <c r="E375" s="8" t="str">
        <f aca="false">HYPERLINK("https://mncourtfraud.com/file/MCRO_27-CR-21-23131_Amended Order_2024-02-01_20240430083638.pdf","MCRO_27-CR-21-23131_Amended Order_2024-02-01_20240430083638.pdf")</f>
        <v>MCRO_27-CR-21-23131_Amended Order_2024-02-01_20240430083638.pdf</v>
      </c>
      <c r="F375" s="9" t="n">
        <v>45323</v>
      </c>
      <c r="G375" s="1" t="s">
        <v>303</v>
      </c>
      <c r="H375" s="3" t="s">
        <v>304</v>
      </c>
      <c r="I375" s="3" t="s">
        <v>305</v>
      </c>
      <c r="J375" s="3" t="s">
        <v>267</v>
      </c>
      <c r="K375" s="10" t="s">
        <v>306</v>
      </c>
      <c r="L375" s="3" t="s">
        <v>307</v>
      </c>
      <c r="N375" s="10"/>
    </row>
    <row r="376" customFormat="false" ht="18.7" hidden="false" customHeight="true" outlineLevel="0" collapsed="false">
      <c r="A376" s="1" t="n">
        <v>375</v>
      </c>
      <c r="B376" s="7" t="str">
        <f aca="false">HYPERLINK("https://mncourtfraud.com/file/RAB-11.zip","RAB-11.zip")</f>
        <v>RAB-11.zip</v>
      </c>
      <c r="C376" s="8" t="str">
        <f aca="false">HYPERLINK("https://mncourtfraud.com/file/27-CR-22-24627.pdf","27-CR-22-24627")</f>
        <v>27-CR-22-24627</v>
      </c>
      <c r="D376" s="3" t="s">
        <v>260</v>
      </c>
      <c r="E376" s="8" t="str">
        <f aca="false">HYPERLINK("https://mncourtfraud.com/file/MCRO_27-CR-22-24627_Amended Order_2024-02-01_20240429164345.pdf","MCRO_27-CR-22-24627_Amended Order_2024-02-01_20240429164345.pdf")</f>
        <v>MCRO_27-CR-22-24627_Amended Order_2024-02-01_20240429164345.pdf</v>
      </c>
      <c r="F376" s="9" t="n">
        <v>45323</v>
      </c>
      <c r="G376" s="1" t="s">
        <v>303</v>
      </c>
      <c r="H376" s="3" t="s">
        <v>304</v>
      </c>
      <c r="I376" s="3" t="s">
        <v>305</v>
      </c>
      <c r="J376" s="3" t="s">
        <v>267</v>
      </c>
      <c r="K376" s="10" t="s">
        <v>306</v>
      </c>
      <c r="L376" s="3" t="s">
        <v>307</v>
      </c>
      <c r="N376" s="10"/>
    </row>
    <row r="377" customFormat="false" ht="18.7" hidden="false" customHeight="true" outlineLevel="0" collapsed="false">
      <c r="A377" s="1" t="n">
        <v>376</v>
      </c>
      <c r="F377" s="9"/>
      <c r="K377" s="10"/>
      <c r="N377" s="10"/>
    </row>
    <row r="378" customFormat="false" ht="18.7" hidden="false" customHeight="true" outlineLevel="0" collapsed="false">
      <c r="A378" s="1" t="n">
        <v>377</v>
      </c>
      <c r="B378" s="7" t="str">
        <f aca="false">HYPERLINK("https://mncourtfraud.com/file/RAB-12.zip","RAB-12.zip")</f>
        <v>RAB-12.zip</v>
      </c>
      <c r="C378" s="8" t="str">
        <f aca="false">HYPERLINK("https://mncourtfraud.com/file/27-CR-21-23131.pdf","27-CR-21-23131")</f>
        <v>27-CR-21-23131</v>
      </c>
      <c r="D378" s="3" t="s">
        <v>260</v>
      </c>
      <c r="E378" s="8" t="str">
        <f aca="false">HYPERLINK("https://mncourtfraud.com/file/MCRO_27-CR-21-23131_Order-Eval for Mental Illness or Cognitive Impairment 20.02_2024-02-07_20240430083636.pdf","MCRO_27-CR-21-23131_Order-Eval for Mental Illness or Cognitive Impairment 20.02_2024-02-07_20240430083636.pdf")</f>
        <v>MCRO_27-CR-21-23131_Order-Eval for Mental Illness or Cognitive Impairment 20.02_2024-02-07_20240430083636.pdf</v>
      </c>
      <c r="F378" s="9" t="n">
        <v>45329</v>
      </c>
      <c r="G378" s="1" t="s">
        <v>308</v>
      </c>
      <c r="H378" s="3" t="s">
        <v>309</v>
      </c>
      <c r="I378" s="3" t="s">
        <v>310</v>
      </c>
      <c r="J378" s="3" t="s">
        <v>267</v>
      </c>
      <c r="K378" s="10" t="s">
        <v>311</v>
      </c>
      <c r="L378" s="3" t="s">
        <v>312</v>
      </c>
      <c r="N378" s="10"/>
    </row>
    <row r="379" customFormat="false" ht="18.7" hidden="false" customHeight="true" outlineLevel="0" collapsed="false">
      <c r="A379" s="1" t="n">
        <v>378</v>
      </c>
      <c r="B379" s="7" t="str">
        <f aca="false">HYPERLINK("https://mncourtfraud.com/file/RAB-12.zip","RAB-12.zip")</f>
        <v>RAB-12.zip</v>
      </c>
      <c r="C379" s="8" t="str">
        <f aca="false">HYPERLINK("https://mncourtfraud.com/file/27-CR-22-24627.pdf","27-CR-22-24627")</f>
        <v>27-CR-22-24627</v>
      </c>
      <c r="D379" s="3" t="s">
        <v>260</v>
      </c>
      <c r="E379" s="8" t="str">
        <f aca="false">HYPERLINK("https://mncourtfraud.com/file/MCRO_27-CR-22-24627_Order-Eval for Mental Illness or Cognitive Impairment 20.02_2024-02-07_20240429164344.pdf","MCRO_27-CR-22-24627_Order-Eval for Mental Illness or Cognitive Impairment 20.02_2024-02-07_20240429164344.pdf")</f>
        <v>MCRO_27-CR-22-24627_Order-Eval for Mental Illness or Cognitive Impairment 20.02_2024-02-07_20240429164344.pdf</v>
      </c>
      <c r="F379" s="9" t="n">
        <v>45329</v>
      </c>
      <c r="G379" s="1" t="s">
        <v>308</v>
      </c>
      <c r="H379" s="3" t="s">
        <v>309</v>
      </c>
      <c r="I379" s="3" t="s">
        <v>310</v>
      </c>
      <c r="J379" s="3" t="s">
        <v>267</v>
      </c>
      <c r="K379" s="10" t="s">
        <v>311</v>
      </c>
      <c r="L379" s="3" t="s">
        <v>312</v>
      </c>
      <c r="N379" s="10"/>
    </row>
    <row r="380" customFormat="false" ht="18.7" hidden="false" customHeight="true" outlineLevel="0" collapsed="false">
      <c r="A380" s="1" t="n">
        <v>379</v>
      </c>
      <c r="F380" s="9"/>
      <c r="K380" s="10"/>
      <c r="N380" s="10"/>
    </row>
    <row r="381" customFormat="false" ht="18.7" hidden="false" customHeight="true" outlineLevel="0" collapsed="false">
      <c r="A381" s="1" t="n">
        <v>380</v>
      </c>
      <c r="F381" s="9"/>
      <c r="K381" s="10"/>
      <c r="N381" s="10"/>
    </row>
    <row r="382" customFormat="false" ht="18.7" hidden="false" customHeight="true" outlineLevel="0" collapsed="false">
      <c r="A382" s="1" t="n">
        <v>381</v>
      </c>
      <c r="B382" s="7" t="str">
        <f aca="false">HYPERLINK("https://mncourtfraud.com/file/DLF-1.zip","DLF-1.zip")</f>
        <v>DLF-1.zip</v>
      </c>
      <c r="C382" s="8" t="str">
        <f aca="false">HYPERLINK("https://mncourtfraud.com/file/27-CR-21-20637.pdf","27-CR-21-20637")</f>
        <v>27-CR-21-20637</v>
      </c>
      <c r="D382" s="3" t="s">
        <v>313</v>
      </c>
      <c r="E382" s="8" t="str">
        <f aca="false">HYPERLINK("https://mncourtfraud.com/file/MCRO_27-CR-21-20637_Proposed Order or Document_2022-01-27_20240430083257.pdf","MCRO_27-CR-21-20637_Proposed Order or Document_2022-01-27_20240430083257.pdf")</f>
        <v>MCRO_27-CR-21-20637_Proposed Order or Document_2022-01-27_20240430083257.pdf</v>
      </c>
      <c r="F382" s="9" t="n">
        <v>44588</v>
      </c>
      <c r="G382" s="1" t="s">
        <v>314</v>
      </c>
      <c r="H382" s="3" t="s">
        <v>315</v>
      </c>
      <c r="I382" s="3" t="s">
        <v>316</v>
      </c>
      <c r="K382" s="10"/>
      <c r="N382" s="10"/>
    </row>
    <row r="383" customFormat="false" ht="18.7" hidden="false" customHeight="true" outlineLevel="0" collapsed="false">
      <c r="A383" s="1" t="n">
        <v>382</v>
      </c>
      <c r="B383" s="7" t="str">
        <f aca="false">HYPERLINK("https://mncourtfraud.com/file/DLF-1.zip","DLF-1.zip")</f>
        <v>DLF-1.zip</v>
      </c>
      <c r="C383" s="8" t="str">
        <f aca="false">HYPERLINK("https://mncourtfraud.com/file/27-CR-21-20637.pdf","27-CR-21-20637")</f>
        <v>27-CR-21-20637</v>
      </c>
      <c r="D383" s="3" t="s">
        <v>313</v>
      </c>
      <c r="E383" s="8" t="str">
        <f aca="false">HYPERLINK("https://mncourtfraud.com/file/MCRO_27-CR-21-20637_Order for Production of Medical Records_2022-01-28_20240430083257.pdf","MCRO_27-CR-21-20637_Order for Production of Medical Records_2022-01-28_20240430083257.pdf")</f>
        <v>MCRO_27-CR-21-20637_Order for Production of Medical Records_2022-01-28_20240430083257.pdf</v>
      </c>
      <c r="F383" s="9" t="n">
        <v>44589</v>
      </c>
      <c r="G383" s="1" t="s">
        <v>314</v>
      </c>
      <c r="H383" s="3" t="s">
        <v>315</v>
      </c>
      <c r="I383" s="3" t="s">
        <v>317</v>
      </c>
      <c r="K383" s="10"/>
      <c r="N383" s="10"/>
    </row>
    <row r="384" customFormat="false" ht="18.7" hidden="false" customHeight="true" outlineLevel="0" collapsed="false">
      <c r="A384" s="1" t="n">
        <v>383</v>
      </c>
      <c r="F384" s="9"/>
      <c r="K384" s="10"/>
      <c r="N384" s="10"/>
    </row>
    <row r="385" customFormat="false" ht="18.7" hidden="false" customHeight="true" outlineLevel="0" collapsed="false">
      <c r="A385" s="1" t="n">
        <v>384</v>
      </c>
      <c r="B385" s="7" t="str">
        <f aca="false">HYPERLINK("https://mncourtfraud.com/file/DLF-2.zip","DLF-2.zip")</f>
        <v>DLF-2.zip</v>
      </c>
      <c r="C385" s="8" t="str">
        <f aca="false">HYPERLINK("https://mncourtfraud.com/file/27-CR-21-20637.pdf","27-CR-21-20637")</f>
        <v>27-CR-21-20637</v>
      </c>
      <c r="D385" s="3" t="s">
        <v>313</v>
      </c>
      <c r="E385" s="8" t="str">
        <f aca="false">HYPERLINK("https://mncourtfraud.com/file/MCRO_27-CR-21-20637_Notice of Remote Hearing with Instructions_2023-06-28_20240430083252.pdf","MCRO_27-CR-21-20637_Notice of Remote Hearing with Instructions_2023-06-28_20240430083252.pdf")</f>
        <v>MCRO_27-CR-21-20637_Notice of Remote Hearing with Instructions_2023-06-28_20240430083252.pdf</v>
      </c>
      <c r="F385" s="9" t="n">
        <v>45105</v>
      </c>
      <c r="G385" s="1" t="s">
        <v>318</v>
      </c>
      <c r="H385" s="3" t="s">
        <v>319</v>
      </c>
      <c r="I385" s="3" t="s">
        <v>320</v>
      </c>
      <c r="K385" s="10"/>
      <c r="N385" s="10"/>
    </row>
    <row r="386" customFormat="false" ht="18.7" hidden="false" customHeight="true" outlineLevel="0" collapsed="false">
      <c r="A386" s="1" t="n">
        <v>385</v>
      </c>
      <c r="B386" s="7" t="str">
        <f aca="false">HYPERLINK("https://mncourtfraud.com/file/DLF-2.zip","DLF-2.zip")</f>
        <v>DLF-2.zip</v>
      </c>
      <c r="C386" s="8" t="str">
        <f aca="false">HYPERLINK("https://mncourtfraud.com/file/27-CR-23-8721.pdf","27-CR-23-8721")</f>
        <v>27-CR-23-8721</v>
      </c>
      <c r="D386" s="3" t="s">
        <v>313</v>
      </c>
      <c r="E386" s="8" t="str">
        <f aca="false">HYPERLINK("https://mncourtfraud.com/file/MCRO_27-CR-23-8721_Notice of Remote Hearing with Instructions_2023-06-28_20240430073629.pdf","MCRO_27-CR-23-8721_Notice of Remote Hearing with Instructions_2023-06-28_20240430073629.pdf")</f>
        <v>MCRO_27-CR-23-8721_Notice of Remote Hearing with Instructions_2023-06-28_20240430073629.pdf</v>
      </c>
      <c r="F386" s="9" t="n">
        <v>45105</v>
      </c>
      <c r="G386" s="1" t="s">
        <v>318</v>
      </c>
      <c r="H386" s="3" t="s">
        <v>319</v>
      </c>
      <c r="I386" s="3" t="s">
        <v>320</v>
      </c>
      <c r="K386" s="10"/>
      <c r="N386" s="10"/>
    </row>
    <row r="387" customFormat="false" ht="18.7" hidden="false" customHeight="true" outlineLevel="0" collapsed="false">
      <c r="A387" s="1" t="n">
        <v>386</v>
      </c>
      <c r="F387" s="9"/>
      <c r="K387" s="10"/>
      <c r="N387" s="10"/>
    </row>
    <row r="388" customFormat="false" ht="18.7" hidden="false" customHeight="true" outlineLevel="0" collapsed="false">
      <c r="A388" s="1" t="n">
        <v>387</v>
      </c>
      <c r="B388" s="7" t="str">
        <f aca="false">HYPERLINK("https://mncourtfraud.com/file/DLF-3.zip","DLF-3.zip")</f>
        <v>DLF-3.zip</v>
      </c>
      <c r="C388" s="8" t="str">
        <f aca="false">HYPERLINK("https://mncourtfraud.com/file/27-CR-21-20637.pdf","27-CR-21-20637")</f>
        <v>27-CR-21-20637</v>
      </c>
      <c r="D388" s="3" t="s">
        <v>313</v>
      </c>
      <c r="E388" s="8" t="str">
        <f aca="false">HYPERLINK("https://mncourtfraud.com/file/MCRO_27-CR-21-20637_Order-Evaluation for Competency to Proceed (Rule 20.01)_2023-11-09_20240430083251.pdf","MCRO_27-CR-21-20637_Order-Evaluation for Competency to Proceed (Rule 20.01)_2023-11-09_20240430083251.pdf")</f>
        <v>MCRO_27-CR-21-20637_Order-Evaluation for Competency to Proceed (Rule 20.01)_2023-11-09_20240430083251.pdf</v>
      </c>
      <c r="F388" s="9" t="n">
        <v>45239</v>
      </c>
      <c r="G388" s="1" t="s">
        <v>321</v>
      </c>
      <c r="H388" s="3" t="s">
        <v>322</v>
      </c>
      <c r="I388" s="3" t="s">
        <v>323</v>
      </c>
      <c r="K388" s="10"/>
      <c r="N388" s="10"/>
    </row>
    <row r="389" customFormat="false" ht="18.7" hidden="false" customHeight="true" outlineLevel="0" collapsed="false">
      <c r="A389" s="1" t="n">
        <v>388</v>
      </c>
      <c r="B389" s="7" t="str">
        <f aca="false">HYPERLINK("https://mncourtfraud.com/file/DLF-3.zip","DLF-3.zip")</f>
        <v>DLF-3.zip</v>
      </c>
      <c r="C389" s="8" t="str">
        <f aca="false">HYPERLINK("https://mncourtfraud.com/file/27-CR-23-8721.pdf","27-CR-23-8721")</f>
        <v>27-CR-23-8721</v>
      </c>
      <c r="D389" s="3" t="s">
        <v>313</v>
      </c>
      <c r="E389" s="8" t="str">
        <f aca="false">HYPERLINK("https://mncourtfraud.com/file/MCRO_27-CR-23-8721_Order-Evaluation for Competency to Proceed (Rule 20.01)_2023-11-09_20240430073628.pdf","MCRO_27-CR-23-8721_Order-Evaluation for Competency to Proceed (Rule 20.01)_2023-11-09_20240430073628.pdf")</f>
        <v>MCRO_27-CR-23-8721_Order-Evaluation for Competency to Proceed (Rule 20.01)_2023-11-09_20240430073628.pdf</v>
      </c>
      <c r="F389" s="9" t="n">
        <v>45239</v>
      </c>
      <c r="G389" s="1" t="s">
        <v>321</v>
      </c>
      <c r="H389" s="3" t="s">
        <v>322</v>
      </c>
      <c r="I389" s="3" t="s">
        <v>323</v>
      </c>
      <c r="K389" s="10"/>
      <c r="N389" s="10"/>
    </row>
    <row r="390" customFormat="false" ht="18.7" hidden="false" customHeight="true" outlineLevel="0" collapsed="false">
      <c r="A390" s="1" t="n">
        <v>389</v>
      </c>
      <c r="F390" s="9"/>
      <c r="K390" s="10"/>
      <c r="N390" s="10"/>
    </row>
    <row r="391" customFormat="false" ht="18.7" hidden="false" customHeight="true" outlineLevel="0" collapsed="false">
      <c r="A391" s="1" t="n">
        <v>390</v>
      </c>
      <c r="B391" s="7" t="str">
        <f aca="false">HYPERLINK("https://mncourtfraud.com/file/DLF-4.zip","DLF-4.zip")</f>
        <v>DLF-4.zip</v>
      </c>
      <c r="C391" s="8" t="str">
        <f aca="false">HYPERLINK("https://mncourtfraud.com/file/27-CR-21-20637.pdf","27-CR-21-20637")</f>
        <v>27-CR-21-20637</v>
      </c>
      <c r="D391" s="3" t="s">
        <v>313</v>
      </c>
      <c r="E391" s="8" t="str">
        <f aca="false">HYPERLINK("https://mncourtfraud.com/file/MCRO_27-CR-21-20637_Notice of Remote Hearing with Instructions_2023-11-09_20240430083250.pdf","MCRO_27-CR-21-20637_Notice of Remote Hearing with Instructions_2023-11-09_20240430083250.pdf")</f>
        <v>MCRO_27-CR-21-20637_Notice of Remote Hearing with Instructions_2023-11-09_20240430083250.pdf</v>
      </c>
      <c r="F391" s="9" t="n">
        <v>45239</v>
      </c>
      <c r="G391" s="1" t="s">
        <v>324</v>
      </c>
      <c r="H391" s="3" t="s">
        <v>325</v>
      </c>
      <c r="I391" s="3" t="s">
        <v>326</v>
      </c>
      <c r="K391" s="10"/>
      <c r="N391" s="10"/>
    </row>
    <row r="392" customFormat="false" ht="18.7" hidden="false" customHeight="true" outlineLevel="0" collapsed="false">
      <c r="A392" s="1" t="n">
        <v>391</v>
      </c>
      <c r="B392" s="7" t="str">
        <f aca="false">HYPERLINK("https://mncourtfraud.com/file/DLF-4.zip","DLF-4.zip")</f>
        <v>DLF-4.zip</v>
      </c>
      <c r="C392" s="8" t="str">
        <f aca="false">HYPERLINK("https://mncourtfraud.com/file/27-CR-23-8721.pdf","27-CR-23-8721")</f>
        <v>27-CR-23-8721</v>
      </c>
      <c r="D392" s="3" t="s">
        <v>313</v>
      </c>
      <c r="E392" s="8" t="str">
        <f aca="false">HYPERLINK("https://mncourtfraud.com/file/MCRO_27-CR-23-8721_Notice of Remote Hearing with Instructions_2023-11-09_20240430073627.pdf","MCRO_27-CR-23-8721_Notice of Remote Hearing with Instructions_2023-11-09_20240430073627.pdf")</f>
        <v>MCRO_27-CR-23-8721_Notice of Remote Hearing with Instructions_2023-11-09_20240430073627.pdf</v>
      </c>
      <c r="F392" s="9" t="n">
        <v>45239</v>
      </c>
      <c r="G392" s="1" t="s">
        <v>324</v>
      </c>
      <c r="H392" s="3" t="s">
        <v>325</v>
      </c>
      <c r="I392" s="3" t="s">
        <v>326</v>
      </c>
      <c r="K392" s="10"/>
      <c r="N392" s="10"/>
    </row>
    <row r="393" customFormat="false" ht="18.7" hidden="false" customHeight="true" outlineLevel="0" collapsed="false">
      <c r="A393" s="1" t="n">
        <v>392</v>
      </c>
      <c r="F393" s="9"/>
      <c r="K393" s="10"/>
      <c r="N393" s="10"/>
    </row>
    <row r="394" customFormat="false" ht="18.7" hidden="false" customHeight="true" outlineLevel="0" collapsed="false">
      <c r="A394" s="1" t="n">
        <v>393</v>
      </c>
      <c r="B394" s="7" t="str">
        <f aca="false">HYPERLINK("https://mncourtfraud.com/file/DLF-5.zip","DLF-5.zip")</f>
        <v>DLF-5.zip</v>
      </c>
      <c r="C394" s="8" t="str">
        <f aca="false">HYPERLINK("https://mncourtfraud.com/file/27-CR-21-20637.pdf","27-CR-21-20637")</f>
        <v>27-CR-21-20637</v>
      </c>
      <c r="D394" s="3" t="s">
        <v>313</v>
      </c>
      <c r="E394" s="8" t="str">
        <f aca="false">HYPERLINK("https://mncourtfraud.com/file/MCRO_27-CR-21-20637_Notice of Remote Hearing with Instructions_2024-01-23_20240430083247.pdf","MCRO_27-CR-21-20637_Notice of Remote Hearing with Instructions_2024-01-23_20240430083247.pdf")</f>
        <v>MCRO_27-CR-21-20637_Notice of Remote Hearing with Instructions_2024-01-23_20240430083247.pdf</v>
      </c>
      <c r="F394" s="9" t="n">
        <v>45314</v>
      </c>
      <c r="G394" s="1" t="s">
        <v>327</v>
      </c>
      <c r="H394" s="3" t="s">
        <v>328</v>
      </c>
      <c r="I394" s="3" t="s">
        <v>329</v>
      </c>
      <c r="K394" s="10"/>
      <c r="N394" s="10"/>
    </row>
    <row r="395" customFormat="false" ht="18.7" hidden="false" customHeight="true" outlineLevel="0" collapsed="false">
      <c r="A395" s="1" t="n">
        <v>394</v>
      </c>
      <c r="B395" s="7" t="str">
        <f aca="false">HYPERLINK("https://mncourtfraud.com/file/DLF-5.zip","DLF-5.zip")</f>
        <v>DLF-5.zip</v>
      </c>
      <c r="C395" s="8" t="str">
        <f aca="false">HYPERLINK("https://mncourtfraud.com/file/27-CR-21-20637.pdf","27-CR-21-20637")</f>
        <v>27-CR-21-20637</v>
      </c>
      <c r="D395" s="3" t="s">
        <v>313</v>
      </c>
      <c r="E395" s="8" t="str">
        <f aca="false">HYPERLINK("https://mncourtfraud.com/file/MCRO_27-CR-21-20637_Notice of Remote Hearing with Instructions_2024-01-23_20240430083249.pdf","MCRO_27-CR-21-20637_Notice of Remote Hearing with Instructions_2024-01-23_20240430083249.pdf")</f>
        <v>MCRO_27-CR-21-20637_Notice of Remote Hearing with Instructions_2024-01-23_20240430083249.pdf</v>
      </c>
      <c r="F395" s="9" t="n">
        <v>45314</v>
      </c>
      <c r="G395" s="1" t="s">
        <v>327</v>
      </c>
      <c r="H395" s="3" t="s">
        <v>328</v>
      </c>
      <c r="I395" s="3" t="s">
        <v>330</v>
      </c>
      <c r="K395" s="10"/>
      <c r="N395" s="10"/>
    </row>
    <row r="396" customFormat="false" ht="18.7" hidden="false" customHeight="true" outlineLevel="0" collapsed="false">
      <c r="A396" s="1" t="n">
        <v>395</v>
      </c>
      <c r="B396" s="7" t="str">
        <f aca="false">HYPERLINK("https://mncourtfraud.com/file/DLF-5.zip","DLF-5.zip")</f>
        <v>DLF-5.zip</v>
      </c>
      <c r="C396" s="8" t="str">
        <f aca="false">HYPERLINK("https://mncourtfraud.com/file/27-CR-23-8721.pdf","27-CR-23-8721")</f>
        <v>27-CR-23-8721</v>
      </c>
      <c r="D396" s="3" t="s">
        <v>313</v>
      </c>
      <c r="E396" s="8" t="str">
        <f aca="false">HYPERLINK("https://mncourtfraud.com/file/MCRO_27-CR-23-8721_Notice of Remote Hearing with Instructions_2024-01-23_20240430073625.pdf","MCRO_27-CR-23-8721_Notice of Remote Hearing with Instructions_2024-01-23_20240430073625.pdf")</f>
        <v>MCRO_27-CR-23-8721_Notice of Remote Hearing with Instructions_2024-01-23_20240430073625.pdf</v>
      </c>
      <c r="F396" s="9" t="n">
        <v>45314</v>
      </c>
      <c r="G396" s="1" t="s">
        <v>327</v>
      </c>
      <c r="H396" s="3" t="s">
        <v>328</v>
      </c>
      <c r="I396" s="3" t="s">
        <v>329</v>
      </c>
      <c r="K396" s="10"/>
      <c r="N396" s="10"/>
    </row>
    <row r="397" customFormat="false" ht="18.7" hidden="false" customHeight="true" outlineLevel="0" collapsed="false">
      <c r="A397" s="1" t="n">
        <v>396</v>
      </c>
      <c r="B397" s="7" t="str">
        <f aca="false">HYPERLINK("https://mncourtfraud.com/file/DLF-5.zip","DLF-5.zip")</f>
        <v>DLF-5.zip</v>
      </c>
      <c r="C397" s="8" t="str">
        <f aca="false">HYPERLINK("https://mncourtfraud.com/file/27-CR-23-8721.pdf","27-CR-23-8721")</f>
        <v>27-CR-23-8721</v>
      </c>
      <c r="D397" s="3" t="s">
        <v>313</v>
      </c>
      <c r="E397" s="8" t="str">
        <f aca="false">HYPERLINK("https://mncourtfraud.com/file/MCRO_27-CR-23-8721_Notice of Remote Hearing with Instructions_2024-01-23_20240430073626.pdf","MCRO_27-CR-23-8721_Notice of Remote Hearing with Instructions_2024-01-23_20240430073626.pdf")</f>
        <v>MCRO_27-CR-23-8721_Notice of Remote Hearing with Instructions_2024-01-23_20240430073626.pdf</v>
      </c>
      <c r="F397" s="9" t="n">
        <v>45314</v>
      </c>
      <c r="G397" s="1" t="s">
        <v>327</v>
      </c>
      <c r="H397" s="3" t="s">
        <v>328</v>
      </c>
      <c r="I397" s="3" t="s">
        <v>330</v>
      </c>
      <c r="K397" s="10"/>
      <c r="N397" s="10"/>
    </row>
    <row r="398" customFormat="false" ht="18.7" hidden="false" customHeight="true" outlineLevel="0" collapsed="false">
      <c r="A398" s="1" t="n">
        <v>397</v>
      </c>
      <c r="F398" s="9"/>
      <c r="K398" s="10"/>
      <c r="N398" s="10"/>
    </row>
    <row r="399" customFormat="false" ht="18.7" hidden="false" customHeight="true" outlineLevel="0" collapsed="false">
      <c r="A399" s="1" t="n">
        <v>398</v>
      </c>
      <c r="B399" s="7" t="str">
        <f aca="false">HYPERLINK("https://mncourtfraud.com/file/DLF-6.zip","DLF-6.zip")</f>
        <v>DLF-6.zip</v>
      </c>
      <c r="C399" s="8" t="str">
        <f aca="false">HYPERLINK("https://mncourtfraud.com/file/27-CR-21-20637.pdf","27-CR-21-20637")</f>
        <v>27-CR-21-20637</v>
      </c>
      <c r="D399" s="3" t="s">
        <v>313</v>
      </c>
      <c r="E399" s="8" t="str">
        <f aca="false">HYPERLINK("https://mncourtfraud.com/file/MCRO_27-CR-21-20637_Notice of Remote Hearing with Instructions_2024-03-12_20240430083246.pdf","MCRO_27-CR-21-20637_Notice of Remote Hearing with Instructions_2024-03-12_20240430083246.pdf")</f>
        <v>MCRO_27-CR-21-20637_Notice of Remote Hearing with Instructions_2024-03-12_20240430083246.pdf</v>
      </c>
      <c r="F399" s="9" t="n">
        <v>45363</v>
      </c>
      <c r="G399" s="1" t="s">
        <v>331</v>
      </c>
      <c r="H399" s="3" t="s">
        <v>332</v>
      </c>
      <c r="I399" s="3" t="s">
        <v>333</v>
      </c>
      <c r="K399" s="10"/>
      <c r="N399" s="10"/>
    </row>
    <row r="400" customFormat="false" ht="18.7" hidden="false" customHeight="true" outlineLevel="0" collapsed="false">
      <c r="A400" s="1" t="n">
        <v>399</v>
      </c>
      <c r="B400" s="7" t="str">
        <f aca="false">HYPERLINK("https://mncourtfraud.com/file/DLF-6.zip","DLF-6.zip")</f>
        <v>DLF-6.zip</v>
      </c>
      <c r="C400" s="8" t="str">
        <f aca="false">HYPERLINK("https://mncourtfraud.com/file/27-CR-23-8721.pdf","27-CR-23-8721")</f>
        <v>27-CR-23-8721</v>
      </c>
      <c r="D400" s="3" t="s">
        <v>313</v>
      </c>
      <c r="E400" s="8" t="str">
        <f aca="false">HYPERLINK("https://mncourtfraud.com/file/MCRO_27-CR-23-8721_Notice of Remote Hearing with Instructions_2024-03-12_20240430073624.pdf","MCRO_27-CR-23-8721_Notice of Remote Hearing with Instructions_2024-03-12_20240430073624.pdf")</f>
        <v>MCRO_27-CR-23-8721_Notice of Remote Hearing with Instructions_2024-03-12_20240430073624.pdf</v>
      </c>
      <c r="F400" s="9" t="n">
        <v>45363</v>
      </c>
      <c r="G400" s="1" t="s">
        <v>331</v>
      </c>
      <c r="H400" s="3" t="s">
        <v>332</v>
      </c>
      <c r="I400" s="3" t="s">
        <v>333</v>
      </c>
      <c r="K400" s="10"/>
      <c r="N400" s="10"/>
    </row>
    <row r="401" customFormat="false" ht="18.7" hidden="false" customHeight="true" outlineLevel="0" collapsed="false">
      <c r="A401" s="1" t="n">
        <v>400</v>
      </c>
      <c r="F401" s="9"/>
      <c r="K401" s="10"/>
      <c r="N401" s="10"/>
    </row>
    <row r="402" customFormat="false" ht="18.7" hidden="false" customHeight="true" outlineLevel="0" collapsed="false">
      <c r="A402" s="1" t="n">
        <v>401</v>
      </c>
      <c r="F402" s="9"/>
      <c r="K402" s="10"/>
      <c r="N402" s="10"/>
    </row>
    <row r="403" customFormat="false" ht="18.7" hidden="false" customHeight="true" outlineLevel="0" collapsed="false">
      <c r="A403" s="1" t="n">
        <v>402</v>
      </c>
      <c r="B403" s="7" t="str">
        <f aca="false">HYPERLINK("https://mncourtfraud.com/file/TJ-1.zip","TJ-1.zip")</f>
        <v>TJ-1.zip</v>
      </c>
      <c r="C403" s="8" t="str">
        <f aca="false">HYPERLINK("https://mncourtfraud.com/file/27-CR-19-12466.pdf","27-CR-19-12466")</f>
        <v>27-CR-19-12466</v>
      </c>
      <c r="D403" s="3" t="s">
        <v>334</v>
      </c>
      <c r="E403" s="8" t="str">
        <f aca="false">HYPERLINK("https://mncourtfraud.com/file/MCRO_27-CR-19-12466_Demand or Request for Discovery_2019-06-04_20240430091900.pdf","MCRO_27-CR-19-12466_Demand or Request for Discovery_2019-06-04_20240430091900.pdf")</f>
        <v>MCRO_27-CR-19-12466_Demand or Request for Discovery_2019-06-04_20240430091900.pdf</v>
      </c>
      <c r="F403" s="9" t="n">
        <v>43620</v>
      </c>
      <c r="G403" s="1" t="s">
        <v>16</v>
      </c>
      <c r="H403" s="3" t="s">
        <v>17</v>
      </c>
      <c r="I403" s="3" t="s">
        <v>335</v>
      </c>
      <c r="K403" s="10"/>
      <c r="N403" s="10"/>
    </row>
    <row r="404" customFormat="false" ht="18.7" hidden="false" customHeight="true" outlineLevel="0" collapsed="false">
      <c r="A404" s="1" t="n">
        <v>403</v>
      </c>
      <c r="B404" s="7" t="str">
        <f aca="false">HYPERLINK("https://mncourtfraud.com/file/TJ-1.zip","TJ-1.zip")</f>
        <v>TJ-1.zip</v>
      </c>
      <c r="C404" s="8" t="str">
        <f aca="false">HYPERLINK("https://mncourtfraud.com/file/27-CR-20-8926.pdf","27-CR-20-8926")</f>
        <v>27-CR-20-8926</v>
      </c>
      <c r="D404" s="3" t="s">
        <v>334</v>
      </c>
      <c r="E404" s="8" t="str">
        <f aca="false">HYPERLINK("https://mncourtfraud.com/file/MCRO_27-CR-20-8926_Demand or Request for Discovery_2020-07-22_20240430085450.pdf","MCRO_27-CR-20-8926_Demand or Request for Discovery_2020-07-22_20240430085450.pdf")</f>
        <v>MCRO_27-CR-20-8926_Demand or Request for Discovery_2020-07-22_20240430085450.pdf</v>
      </c>
      <c r="F404" s="9" t="n">
        <v>44034</v>
      </c>
      <c r="G404" s="1" t="s">
        <v>16</v>
      </c>
      <c r="H404" s="3" t="s">
        <v>17</v>
      </c>
      <c r="I404" s="3" t="s">
        <v>336</v>
      </c>
      <c r="K404" s="10"/>
      <c r="N404" s="10"/>
    </row>
    <row r="405" customFormat="false" ht="18.7" hidden="false" customHeight="true" outlineLevel="0" collapsed="false">
      <c r="A405" s="1" t="n">
        <v>404</v>
      </c>
      <c r="F405" s="9"/>
      <c r="K405" s="10"/>
      <c r="N405" s="10"/>
    </row>
    <row r="406" customFormat="false" ht="18.7" hidden="false" customHeight="true" outlineLevel="0" collapsed="false">
      <c r="A406" s="1" t="n">
        <v>405</v>
      </c>
      <c r="B406" s="7" t="str">
        <f aca="false">HYPERLINK("https://mncourtfraud.com/file/TJ-2.zip","TJ-2.zip")</f>
        <v>TJ-2.zip</v>
      </c>
      <c r="C406" s="8" t="str">
        <f aca="false">HYPERLINK("https://mncourtfraud.com/file/27-CR-19-12466.pdf","27-CR-19-12466")</f>
        <v>27-CR-19-12466</v>
      </c>
      <c r="D406" s="3" t="s">
        <v>334</v>
      </c>
      <c r="E406" s="8" t="str">
        <f aca="false">HYPERLINK("https://mncourtfraud.com/file/MCRO_27-CR-19-12466_Order to Transport_2019-10-07_20240430091853.pdf","MCRO_27-CR-19-12466_Order to Transport_2019-10-07_20240430091853.pdf")</f>
        <v>MCRO_27-CR-19-12466_Order to Transport_2019-10-07_20240430091853.pdf</v>
      </c>
      <c r="F406" s="9" t="n">
        <v>43745</v>
      </c>
      <c r="G406" s="1" t="s">
        <v>337</v>
      </c>
      <c r="H406" s="3" t="s">
        <v>338</v>
      </c>
      <c r="I406" s="3" t="s">
        <v>339</v>
      </c>
      <c r="K406" s="10"/>
      <c r="N406" s="10"/>
    </row>
    <row r="407" customFormat="false" ht="18.7" hidden="false" customHeight="true" outlineLevel="0" collapsed="false">
      <c r="A407" s="1" t="n">
        <v>406</v>
      </c>
      <c r="B407" s="7" t="str">
        <f aca="false">HYPERLINK("https://mncourtfraud.com/file/TJ-2.zip","TJ-2.zip")</f>
        <v>TJ-2.zip</v>
      </c>
      <c r="C407" s="8" t="str">
        <f aca="false">HYPERLINK("https://mncourtfraud.com/file/27-CR-19-19606.pdf","27-CR-19-19606")</f>
        <v>27-CR-19-19606</v>
      </c>
      <c r="D407" s="3" t="s">
        <v>334</v>
      </c>
      <c r="E407" s="8" t="str">
        <f aca="false">HYPERLINK("https://mncourtfraud.com/file/MCRO_27-CR-19-19606_Order to Transport_2019-10-07_20240430092106.pdf","MCRO_27-CR-19-19606_Order to Transport_2019-10-07_20240430092106.pdf")</f>
        <v>MCRO_27-CR-19-19606_Order to Transport_2019-10-07_20240430092106.pdf</v>
      </c>
      <c r="F407" s="9" t="n">
        <v>43745</v>
      </c>
      <c r="G407" s="1" t="s">
        <v>337</v>
      </c>
      <c r="H407" s="3" t="s">
        <v>338</v>
      </c>
      <c r="I407" s="3" t="s">
        <v>340</v>
      </c>
      <c r="K407" s="10"/>
      <c r="N407" s="10"/>
    </row>
    <row r="408" customFormat="false" ht="18.7" hidden="false" customHeight="true" outlineLevel="0" collapsed="false">
      <c r="A408" s="1" t="n">
        <v>407</v>
      </c>
      <c r="F408" s="9"/>
      <c r="K408" s="10"/>
      <c r="N408" s="10"/>
    </row>
    <row r="409" customFormat="false" ht="18.7" hidden="false" customHeight="true" outlineLevel="0" collapsed="false">
      <c r="A409" s="1" t="n">
        <v>408</v>
      </c>
      <c r="B409" s="7" t="str">
        <f aca="false">HYPERLINK("https://mncourtfraud.com/file/TJ-3.zip","TJ-3.zip")</f>
        <v>TJ-3.zip</v>
      </c>
      <c r="C409" s="8" t="str">
        <f aca="false">HYPERLINK("https://mncourtfraud.com/file/27-CR-19-12466.pdf","27-CR-19-12466")</f>
        <v>27-CR-19-12466</v>
      </c>
      <c r="D409" s="3" t="s">
        <v>334</v>
      </c>
      <c r="E409" s="8" t="str">
        <f aca="false">HYPERLINK("https://mncourtfraud.com/file/MCRO_27-CR-19-12466_Find of Fact-Order, Pet Commitment-Dfd Found Incompetent_2019-10-08_20240430091852.pdf","MCRO_27-CR-19-12466_Find of Fact-Order, Pet Commitment-Dfd Found Incompetent_2019-10-08_20240430091852.pdf")</f>
        <v>MCRO_27-CR-19-12466_Find of Fact-Order, Pet Commitment-Dfd Found Incompetent_2019-10-08_20240430091852.pdf</v>
      </c>
      <c r="F409" s="9" t="n">
        <v>43746</v>
      </c>
      <c r="G409" s="1" t="s">
        <v>341</v>
      </c>
      <c r="H409" s="3" t="s">
        <v>342</v>
      </c>
      <c r="I409" s="3" t="s">
        <v>343</v>
      </c>
      <c r="J409" s="3" t="s">
        <v>344</v>
      </c>
      <c r="K409" s="10" t="s">
        <v>345</v>
      </c>
      <c r="L409" s="3" t="s">
        <v>346</v>
      </c>
      <c r="N409" s="10"/>
    </row>
    <row r="410" customFormat="false" ht="18.7" hidden="false" customHeight="true" outlineLevel="0" collapsed="false">
      <c r="A410" s="1" t="n">
        <v>409</v>
      </c>
      <c r="B410" s="7" t="str">
        <f aca="false">HYPERLINK("https://mncourtfraud.com/file/TJ-3.zip","TJ-3.zip")</f>
        <v>TJ-3.zip</v>
      </c>
      <c r="C410" s="8" t="str">
        <f aca="false">HYPERLINK("https://mncourtfraud.com/file/27-CR-19-19606.pdf","27-CR-19-19606")</f>
        <v>27-CR-19-19606</v>
      </c>
      <c r="D410" s="3" t="s">
        <v>334</v>
      </c>
      <c r="E410" s="8" t="str">
        <f aca="false">HYPERLINK("https://mncourtfraud.com/file/MCRO_27-CR-19-19606_Find of Fact-Order, Pet Commitment-Dfd Found Incompetent_2019-10-08_20240430092105.pdf","MCRO_27-CR-19-19606_Find of Fact-Order, Pet Commitment-Dfd Found Incompetent_2019-10-08_20240430092105.pdf")</f>
        <v>MCRO_27-CR-19-19606_Find of Fact-Order, Pet Commitment-Dfd Found Incompetent_2019-10-08_20240430092105.pdf</v>
      </c>
      <c r="F410" s="9" t="n">
        <v>43746</v>
      </c>
      <c r="G410" s="1" t="s">
        <v>341</v>
      </c>
      <c r="H410" s="3" t="s">
        <v>342</v>
      </c>
      <c r="I410" s="3" t="s">
        <v>343</v>
      </c>
      <c r="J410" s="3" t="s">
        <v>344</v>
      </c>
      <c r="K410" s="10" t="s">
        <v>345</v>
      </c>
      <c r="L410" s="3" t="s">
        <v>346</v>
      </c>
      <c r="N410" s="10"/>
    </row>
    <row r="411" customFormat="false" ht="18.7" hidden="false" customHeight="true" outlineLevel="0" collapsed="false">
      <c r="A411" s="1" t="n">
        <v>410</v>
      </c>
      <c r="F411" s="9"/>
      <c r="K411" s="10"/>
      <c r="N411" s="10"/>
    </row>
    <row r="412" customFormat="false" ht="18.7" hidden="false" customHeight="true" outlineLevel="0" collapsed="false">
      <c r="A412" s="1" t="n">
        <v>411</v>
      </c>
      <c r="B412" s="7" t="str">
        <f aca="false">HYPERLINK("https://mncourtfraud.com/file/TJ-4.zip","TJ-4.zip")</f>
        <v>TJ-4.zip</v>
      </c>
      <c r="C412" s="8" t="str">
        <f aca="false">HYPERLINK("https://mncourtfraud.com/file/27-CR-19-12466.pdf","27-CR-19-12466")</f>
        <v>27-CR-19-12466</v>
      </c>
      <c r="D412" s="3" t="s">
        <v>334</v>
      </c>
      <c r="E412" s="8" t="str">
        <f aca="false">HYPERLINK("https://mncourtfraud.com/file/MCRO_27-CR-19-12466_Order for Conditional Release_2020-01-24_20240430091849.pdf","MCRO_27-CR-19-12466_Order for Conditional Release_2020-01-24_20240430091849.pdf")</f>
        <v>MCRO_27-CR-19-12466_Order for Conditional Release_2020-01-24_20240430091849.pdf</v>
      </c>
      <c r="F412" s="9" t="n">
        <v>43854</v>
      </c>
      <c r="G412" s="1" t="s">
        <v>347</v>
      </c>
      <c r="H412" s="3" t="s">
        <v>348</v>
      </c>
      <c r="I412" s="3" t="s">
        <v>349</v>
      </c>
      <c r="K412" s="10"/>
      <c r="N412" s="10"/>
    </row>
    <row r="413" customFormat="false" ht="18.7" hidden="false" customHeight="true" outlineLevel="0" collapsed="false">
      <c r="A413" s="1" t="n">
        <v>412</v>
      </c>
      <c r="B413" s="7" t="str">
        <f aca="false">HYPERLINK("https://mncourtfraud.com/file/TJ-4.zip","TJ-4.zip")</f>
        <v>TJ-4.zip</v>
      </c>
      <c r="C413" s="8" t="str">
        <f aca="false">HYPERLINK("https://mncourtfraud.com/file/27-CR-19-19606.pdf","27-CR-19-19606")</f>
        <v>27-CR-19-19606</v>
      </c>
      <c r="D413" s="3" t="s">
        <v>334</v>
      </c>
      <c r="E413" s="8" t="str">
        <f aca="false">HYPERLINK("https://mncourtfraud.com/file/MCRO_27-CR-19-19606_Order for Conditional Release_2020-01-24_20240430092103.pdf","MCRO_27-CR-19-19606_Order for Conditional Release_2020-01-24_20240430092103.pdf")</f>
        <v>MCRO_27-CR-19-19606_Order for Conditional Release_2020-01-24_20240430092103.pdf</v>
      </c>
      <c r="F413" s="9" t="n">
        <v>43854</v>
      </c>
      <c r="G413" s="1" t="s">
        <v>347</v>
      </c>
      <c r="H413" s="3" t="s">
        <v>348</v>
      </c>
      <c r="I413" s="3" t="s">
        <v>350</v>
      </c>
      <c r="K413" s="10"/>
      <c r="N413" s="10"/>
    </row>
    <row r="414" customFormat="false" ht="18.7" hidden="false" customHeight="true" outlineLevel="0" collapsed="false">
      <c r="A414" s="1" t="n">
        <v>413</v>
      </c>
      <c r="F414" s="9"/>
      <c r="K414" s="10"/>
      <c r="N414" s="10"/>
    </row>
    <row r="415" customFormat="false" ht="18.7" hidden="false" customHeight="true" outlineLevel="0" collapsed="false">
      <c r="A415" s="1" t="n">
        <v>414</v>
      </c>
      <c r="B415" s="7" t="str">
        <f aca="false">HYPERLINK("https://mncourtfraud.com/file/TJ-5.zip","TJ-5.zip")</f>
        <v>TJ-5.zip</v>
      </c>
      <c r="C415" s="8" t="str">
        <f aca="false">HYPERLINK("https://mncourtfraud.com/file/27-CR-19-12466.pdf","27-CR-19-12466")</f>
        <v>27-CR-19-12466</v>
      </c>
      <c r="D415" s="3" t="s">
        <v>334</v>
      </c>
      <c r="E415" s="8" t="str">
        <f aca="false">HYPERLINK("https://mncourtfraud.com/file/MCRO_27-CR-19-12466_Order for Conditional Release_2020-02-06_20240430091848.pdf","MCRO_27-CR-19-12466_Order for Conditional Release_2020-02-06_20240430091848.pdf")</f>
        <v>MCRO_27-CR-19-12466_Order for Conditional Release_2020-02-06_20240430091848.pdf</v>
      </c>
      <c r="F415" s="9" t="n">
        <v>43867</v>
      </c>
      <c r="G415" s="1" t="s">
        <v>351</v>
      </c>
      <c r="H415" s="3" t="s">
        <v>352</v>
      </c>
      <c r="I415" s="3" t="s">
        <v>353</v>
      </c>
      <c r="K415" s="10"/>
      <c r="N415" s="10"/>
    </row>
    <row r="416" customFormat="false" ht="18.7" hidden="false" customHeight="true" outlineLevel="0" collapsed="false">
      <c r="A416" s="1" t="n">
        <v>415</v>
      </c>
      <c r="B416" s="7" t="str">
        <f aca="false">HYPERLINK("https://mncourtfraud.com/file/TJ-5.zip","TJ-5.zip")</f>
        <v>TJ-5.zip</v>
      </c>
      <c r="C416" s="8" t="str">
        <f aca="false">HYPERLINK("https://mncourtfraud.com/file/27-CR-19-19606.pdf","27-CR-19-19606")</f>
        <v>27-CR-19-19606</v>
      </c>
      <c r="D416" s="3" t="s">
        <v>334</v>
      </c>
      <c r="E416" s="8" t="str">
        <f aca="false">HYPERLINK("https://mncourtfraud.com/file/MCRO_27-CR-19-19606_Order for Conditional Release_2020-02-06_20240430092102.pdf","MCRO_27-CR-19-19606_Order for Conditional Release_2020-02-06_20240430092102.pdf")</f>
        <v>MCRO_27-CR-19-19606_Order for Conditional Release_2020-02-06_20240430092102.pdf</v>
      </c>
      <c r="F416" s="9" t="n">
        <v>43867</v>
      </c>
      <c r="G416" s="1" t="s">
        <v>351</v>
      </c>
      <c r="H416" s="3" t="s">
        <v>352</v>
      </c>
      <c r="I416" s="3" t="s">
        <v>354</v>
      </c>
      <c r="K416" s="10"/>
      <c r="N416" s="10"/>
    </row>
    <row r="417" customFormat="false" ht="18.7" hidden="false" customHeight="true" outlineLevel="0" collapsed="false">
      <c r="A417" s="1" t="n">
        <v>416</v>
      </c>
      <c r="F417" s="9"/>
      <c r="K417" s="10"/>
      <c r="N417" s="10"/>
    </row>
    <row r="418" customFormat="false" ht="18.7" hidden="false" customHeight="true" outlineLevel="0" collapsed="false">
      <c r="A418" s="1" t="n">
        <v>417</v>
      </c>
      <c r="B418" s="7" t="str">
        <f aca="false">HYPERLINK("https://mncourtfraud.com/file/TJ-6.zip","TJ-6.zip")</f>
        <v>TJ-6.zip</v>
      </c>
      <c r="C418" s="8" t="str">
        <f aca="false">HYPERLINK("https://mncourtfraud.com/file/27-CR-19-12466.pdf","27-CR-19-12466")</f>
        <v>27-CR-19-12466</v>
      </c>
      <c r="D418" s="3" t="s">
        <v>334</v>
      </c>
      <c r="E418" s="8" t="str">
        <f aca="false">HYPERLINK("https://mncourtfraud.com/file/MCRO_27-CR-19-12466_Order-Other_2020-03-25_20240430091846.pdf","MCRO_27-CR-19-12466_Order-Other_2020-03-25_20240430091846.pdf")</f>
        <v>MCRO_27-CR-19-12466_Order-Other_2020-03-25_20240430091846.pdf</v>
      </c>
      <c r="F418" s="9" t="n">
        <v>43915</v>
      </c>
      <c r="G418" s="1" t="s">
        <v>355</v>
      </c>
      <c r="H418" s="3" t="s">
        <v>356</v>
      </c>
      <c r="I418" s="3" t="s">
        <v>357</v>
      </c>
      <c r="K418" s="10"/>
      <c r="N418" s="10"/>
    </row>
    <row r="419" customFormat="false" ht="18.7" hidden="false" customHeight="true" outlineLevel="0" collapsed="false">
      <c r="A419" s="1" t="n">
        <v>418</v>
      </c>
      <c r="B419" s="7" t="str">
        <f aca="false">HYPERLINK("https://mncourtfraud.com/file/TJ-6.zip","TJ-6.zip")</f>
        <v>TJ-6.zip</v>
      </c>
      <c r="C419" s="8" t="str">
        <f aca="false">HYPERLINK("https://mncourtfraud.com/file/27-CR-19-19606.pdf","27-CR-19-19606")</f>
        <v>27-CR-19-19606</v>
      </c>
      <c r="D419" s="3" t="s">
        <v>334</v>
      </c>
      <c r="E419" s="8" t="str">
        <f aca="false">HYPERLINK("https://mncourtfraud.com/file/MCRO_27-CR-19-19606_Order-Other_2020-03-25_20240430092100.pdf","MCRO_27-CR-19-19606_Order-Other_2020-03-25_20240430092100.pdf")</f>
        <v>MCRO_27-CR-19-19606_Order-Other_2020-03-25_20240430092100.pdf</v>
      </c>
      <c r="F419" s="9" t="n">
        <v>43915</v>
      </c>
      <c r="G419" s="1" t="s">
        <v>355</v>
      </c>
      <c r="H419" s="3" t="s">
        <v>356</v>
      </c>
      <c r="I419" s="3" t="s">
        <v>358</v>
      </c>
      <c r="K419" s="10"/>
      <c r="N419" s="10"/>
    </row>
    <row r="420" customFormat="false" ht="18.7" hidden="false" customHeight="true" outlineLevel="0" collapsed="false">
      <c r="A420" s="1" t="n">
        <v>419</v>
      </c>
      <c r="F420" s="9"/>
      <c r="K420" s="10"/>
      <c r="N420" s="10"/>
    </row>
    <row r="421" customFormat="false" ht="18.7" hidden="false" customHeight="true" outlineLevel="0" collapsed="false">
      <c r="A421" s="1" t="n">
        <v>420</v>
      </c>
      <c r="B421" s="7" t="str">
        <f aca="false">HYPERLINK("https://mncourtfraud.com/file/TJ-7.zip","TJ-7.zip")</f>
        <v>TJ-7.zip</v>
      </c>
      <c r="C421" s="8" t="str">
        <f aca="false">HYPERLINK("https://mncourtfraud.com/file/27-CR-19-12466.pdf","27-CR-19-12466")</f>
        <v>27-CR-19-12466</v>
      </c>
      <c r="D421" s="3" t="s">
        <v>334</v>
      </c>
      <c r="E421" s="8" t="str">
        <f aca="false">HYPERLINK("https://mncourtfraud.com/file/MCRO_27-CR-19-12466_Order for Conditional Release_2020-03-25_20240430091847.pdf","MCRO_27-CR-19-12466_Order for Conditional Release_2020-03-25_20240430091847.pdf")</f>
        <v>MCRO_27-CR-19-12466_Order for Conditional Release_2020-03-25_20240430091847.pdf</v>
      </c>
      <c r="F421" s="9" t="n">
        <v>43915</v>
      </c>
      <c r="G421" s="1" t="s">
        <v>359</v>
      </c>
      <c r="H421" s="3" t="s">
        <v>360</v>
      </c>
      <c r="I421" s="3" t="s">
        <v>361</v>
      </c>
      <c r="K421" s="10"/>
      <c r="N421" s="10"/>
    </row>
    <row r="422" customFormat="false" ht="18.7" hidden="false" customHeight="true" outlineLevel="0" collapsed="false">
      <c r="A422" s="1" t="n">
        <v>421</v>
      </c>
      <c r="B422" s="7" t="str">
        <f aca="false">HYPERLINK("https://mncourtfraud.com/file/TJ-7.zip","TJ-7.zip")</f>
        <v>TJ-7.zip</v>
      </c>
      <c r="C422" s="8" t="str">
        <f aca="false">HYPERLINK("https://mncourtfraud.com/file/27-CR-19-19606.pdf","27-CR-19-19606")</f>
        <v>27-CR-19-19606</v>
      </c>
      <c r="D422" s="3" t="s">
        <v>334</v>
      </c>
      <c r="E422" s="8" t="str">
        <f aca="false">HYPERLINK("https://mncourtfraud.com/file/MCRO_27-CR-19-19606_Order for Conditional Release_2020-03-25_20240430092101.pdf","MCRO_27-CR-19-19606_Order for Conditional Release_2020-03-25_20240430092101.pdf")</f>
        <v>MCRO_27-CR-19-19606_Order for Conditional Release_2020-03-25_20240430092101.pdf</v>
      </c>
      <c r="F422" s="9" t="n">
        <v>43915</v>
      </c>
      <c r="G422" s="1" t="s">
        <v>359</v>
      </c>
      <c r="H422" s="3" t="s">
        <v>360</v>
      </c>
      <c r="I422" s="3" t="s">
        <v>362</v>
      </c>
      <c r="K422" s="10"/>
      <c r="N422" s="10"/>
    </row>
    <row r="423" customFormat="false" ht="18.7" hidden="false" customHeight="true" outlineLevel="0" collapsed="false">
      <c r="A423" s="1" t="n">
        <v>422</v>
      </c>
      <c r="F423" s="9"/>
      <c r="K423" s="10"/>
      <c r="N423" s="10"/>
    </row>
    <row r="424" customFormat="false" ht="18.7" hidden="false" customHeight="true" outlineLevel="0" collapsed="false">
      <c r="A424" s="1" t="n">
        <v>423</v>
      </c>
      <c r="B424" s="7" t="str">
        <f aca="false">HYPERLINK("https://mncourtfraud.com/file/TJ-8.zip","TJ-8.zip")</f>
        <v>TJ-8.zip</v>
      </c>
      <c r="C424" s="8" t="str">
        <f aca="false">HYPERLINK("https://mncourtfraud.com/file/27-CR-19-12466.pdf","27-CR-19-12466")</f>
        <v>27-CR-19-12466</v>
      </c>
      <c r="D424" s="3" t="s">
        <v>334</v>
      </c>
      <c r="E424" s="8" t="str">
        <f aca="false">HYPERLINK("https://mncourtfraud.com/file/MCRO_27-CR-19-12466_Order-Evaluation for Competency to Proceed (Rule 20.01)_2020-06-11_20240430091843.pdf","MCRO_27-CR-19-12466_Order-Evaluation for Competency to Proceed (Rule 20.01)_2020-06-11_20240430091843.pdf")</f>
        <v>MCRO_27-CR-19-12466_Order-Evaluation for Competency to Proceed (Rule 20.01)_2020-06-11_20240430091843.pdf</v>
      </c>
      <c r="F424" s="9" t="n">
        <v>43993</v>
      </c>
      <c r="G424" s="1" t="s">
        <v>363</v>
      </c>
      <c r="H424" s="3" t="s">
        <v>364</v>
      </c>
      <c r="I424" s="3" t="s">
        <v>365</v>
      </c>
      <c r="K424" s="10"/>
      <c r="N424" s="10"/>
    </row>
    <row r="425" customFormat="false" ht="18.7" hidden="false" customHeight="true" outlineLevel="0" collapsed="false">
      <c r="A425" s="1" t="n">
        <v>424</v>
      </c>
      <c r="B425" s="7" t="str">
        <f aca="false">HYPERLINK("https://mncourtfraud.com/file/TJ-8.zip","TJ-8.zip")</f>
        <v>TJ-8.zip</v>
      </c>
      <c r="C425" s="8" t="str">
        <f aca="false">HYPERLINK("https://mncourtfraud.com/file/27-CR-19-19606.pdf","27-CR-19-19606")</f>
        <v>27-CR-19-19606</v>
      </c>
      <c r="D425" s="3" t="s">
        <v>334</v>
      </c>
      <c r="E425" s="8" t="str">
        <f aca="false">HYPERLINK("https://mncourtfraud.com/file/MCRO_27-CR-19-19606_Order-Evaluation for Competency to Proceed (Rule 20.01)_2020-06-11_20240430092058.pdf","MCRO_27-CR-19-19606_Order-Evaluation for Competency to Proceed (Rule 20.01)_2020-06-11_20240430092058.pdf")</f>
        <v>MCRO_27-CR-19-19606_Order-Evaluation for Competency to Proceed (Rule 20.01)_2020-06-11_20240430092058.pdf</v>
      </c>
      <c r="F425" s="9" t="n">
        <v>43993</v>
      </c>
      <c r="G425" s="1" t="s">
        <v>363</v>
      </c>
      <c r="H425" s="3" t="s">
        <v>364</v>
      </c>
      <c r="I425" s="3" t="s">
        <v>366</v>
      </c>
      <c r="K425" s="10"/>
      <c r="N425" s="10"/>
    </row>
    <row r="426" customFormat="false" ht="18.7" hidden="false" customHeight="true" outlineLevel="0" collapsed="false">
      <c r="A426" s="1" t="n">
        <v>425</v>
      </c>
      <c r="B426" s="7" t="str">
        <f aca="false">HYPERLINK("https://mncourtfraud.com/file/TJ-8.zip","TJ-8.zip")</f>
        <v>TJ-8.zip</v>
      </c>
      <c r="C426" s="8" t="str">
        <f aca="false">HYPERLINK("https://mncourtfraud.com/file/27-CR-20-8926.pdf","27-CR-20-8926")</f>
        <v>27-CR-20-8926</v>
      </c>
      <c r="D426" s="3" t="s">
        <v>334</v>
      </c>
      <c r="E426" s="8" t="str">
        <f aca="false">HYPERLINK("https://mncourtfraud.com/file/MCRO_27-CR-20-8926_Order-Evaluation for Competency to Proceed (Rule 20.01)_2020-06-11_20240430085451.pdf","MCRO_27-CR-20-8926_Order-Evaluation for Competency to Proceed (Rule 20.01)_2020-06-11_20240430085451.pdf")</f>
        <v>MCRO_27-CR-20-8926_Order-Evaluation for Competency to Proceed (Rule 20.01)_2020-06-11_20240430085451.pdf</v>
      </c>
      <c r="F426" s="9" t="n">
        <v>43993</v>
      </c>
      <c r="G426" s="1" t="s">
        <v>363</v>
      </c>
      <c r="H426" s="3" t="s">
        <v>364</v>
      </c>
      <c r="I426" s="3" t="s">
        <v>367</v>
      </c>
      <c r="K426" s="10"/>
      <c r="N426" s="10"/>
    </row>
    <row r="427" customFormat="false" ht="18.7" hidden="false" customHeight="true" outlineLevel="0" collapsed="false">
      <c r="A427" s="1" t="n">
        <v>426</v>
      </c>
      <c r="F427" s="9"/>
      <c r="K427" s="10"/>
      <c r="N427" s="10"/>
    </row>
    <row r="428" customFormat="false" ht="18.7" hidden="false" customHeight="true" outlineLevel="0" collapsed="false">
      <c r="A428" s="1" t="n">
        <v>427</v>
      </c>
      <c r="B428" s="7" t="str">
        <f aca="false">HYPERLINK("https://mncourtfraud.com/file/TJ-9.zip","TJ-9.zip")</f>
        <v>TJ-9.zip</v>
      </c>
      <c r="C428" s="8" t="str">
        <f aca="false">HYPERLINK("https://mncourtfraud.com/file/27-CR-19-12466.pdf","27-CR-19-12466")</f>
        <v>27-CR-19-12466</v>
      </c>
      <c r="D428" s="3" t="s">
        <v>334</v>
      </c>
      <c r="E428" s="8" t="str">
        <f aca="false">HYPERLINK("https://mncourtfraud.com/file/MCRO_27-CR-19-12466_Notice of Hearing_2020-08-24_20240430091842.pdf","MCRO_27-CR-19-12466_Notice of Hearing_2020-08-24_20240430091842.pdf")</f>
        <v>MCRO_27-CR-19-12466_Notice of Hearing_2020-08-24_20240430091842.pdf</v>
      </c>
      <c r="F428" s="9" t="n">
        <v>44067</v>
      </c>
      <c r="G428" s="1" t="s">
        <v>368</v>
      </c>
      <c r="H428" s="3" t="s">
        <v>369</v>
      </c>
      <c r="I428" s="3" t="s">
        <v>370</v>
      </c>
      <c r="K428" s="10"/>
      <c r="N428" s="10"/>
    </row>
    <row r="429" customFormat="false" ht="18.7" hidden="false" customHeight="true" outlineLevel="0" collapsed="false">
      <c r="A429" s="1" t="n">
        <v>428</v>
      </c>
      <c r="B429" s="7" t="str">
        <f aca="false">HYPERLINK("https://mncourtfraud.com/file/TJ-9.zip","TJ-9.zip")</f>
        <v>TJ-9.zip</v>
      </c>
      <c r="C429" s="8" t="str">
        <f aca="false">HYPERLINK("https://mncourtfraud.com/file/27-CR-19-19606.pdf","27-CR-19-19606")</f>
        <v>27-CR-19-19606</v>
      </c>
      <c r="D429" s="3" t="s">
        <v>334</v>
      </c>
      <c r="E429" s="8" t="str">
        <f aca="false">HYPERLINK("https://mncourtfraud.com/file/MCRO_27-CR-19-19606_Notice of Hearing_2020-08-24_20240430092057.pdf","MCRO_27-CR-19-19606_Notice of Hearing_2020-08-24_20240430092057.pdf")</f>
        <v>MCRO_27-CR-19-19606_Notice of Hearing_2020-08-24_20240430092057.pdf</v>
      </c>
      <c r="F429" s="9" t="n">
        <v>44067</v>
      </c>
      <c r="G429" s="1" t="s">
        <v>368</v>
      </c>
      <c r="H429" s="3" t="s">
        <v>369</v>
      </c>
      <c r="I429" s="3" t="s">
        <v>370</v>
      </c>
      <c r="K429" s="10"/>
      <c r="N429" s="10"/>
    </row>
    <row r="430" customFormat="false" ht="18.7" hidden="false" customHeight="true" outlineLevel="0" collapsed="false">
      <c r="A430" s="1" t="n">
        <v>429</v>
      </c>
      <c r="B430" s="7" t="str">
        <f aca="false">HYPERLINK("https://mncourtfraud.com/file/TJ-9.zip","TJ-9.zip")</f>
        <v>TJ-9.zip</v>
      </c>
      <c r="C430" s="8" t="str">
        <f aca="false">HYPERLINK("https://mncourtfraud.com/file/27-CR-20-8926.pdf","27-CR-20-8926")</f>
        <v>27-CR-20-8926</v>
      </c>
      <c r="D430" s="3" t="s">
        <v>334</v>
      </c>
      <c r="E430" s="8" t="str">
        <f aca="false">HYPERLINK("https://mncourtfraud.com/file/MCRO_27-CR-20-8926_Notice of Hearing_2020-08-24_20240430085449.pdf","MCRO_27-CR-20-8926_Notice of Hearing_2020-08-24_20240430085449.pdf")</f>
        <v>MCRO_27-CR-20-8926_Notice of Hearing_2020-08-24_20240430085449.pdf</v>
      </c>
      <c r="F430" s="9" t="n">
        <v>44067</v>
      </c>
      <c r="G430" s="1" t="s">
        <v>368</v>
      </c>
      <c r="H430" s="3" t="s">
        <v>369</v>
      </c>
      <c r="I430" s="3" t="s">
        <v>370</v>
      </c>
      <c r="K430" s="10"/>
      <c r="N430" s="10"/>
    </row>
    <row r="431" customFormat="false" ht="18.7" hidden="false" customHeight="true" outlineLevel="0" collapsed="false">
      <c r="A431" s="1" t="n">
        <v>430</v>
      </c>
      <c r="F431" s="9"/>
      <c r="K431" s="10"/>
      <c r="N431" s="10"/>
    </row>
    <row r="432" customFormat="false" ht="18.7" hidden="false" customHeight="true" outlineLevel="0" collapsed="false">
      <c r="A432" s="1" t="n">
        <v>431</v>
      </c>
      <c r="B432" s="7" t="str">
        <f aca="false">HYPERLINK("https://mncourtfraud.com/file/TJ-10.zip","TJ-10.zip")</f>
        <v>TJ-10.zip</v>
      </c>
      <c r="C432" s="8" t="str">
        <f aca="false">HYPERLINK("https://mncourtfraud.com/file/27-CR-19-12466.pdf","27-CR-19-12466")</f>
        <v>27-CR-19-12466</v>
      </c>
      <c r="D432" s="3" t="s">
        <v>334</v>
      </c>
      <c r="E432" s="8" t="str">
        <f aca="false">HYPERLINK("https://mncourtfraud.com/file/MCRO_27-CR-19-12466_Petition to Proceed as ProSe Counsel_2020-09-09_20240430091840.pdf","MCRO_27-CR-19-12466_Petition to Proceed as ProSe Counsel_2020-09-09_20240430091840.pdf")</f>
        <v>MCRO_27-CR-19-12466_Petition to Proceed as ProSe Counsel_2020-09-09_20240430091840.pdf</v>
      </c>
      <c r="F432" s="9" t="n">
        <v>44083</v>
      </c>
      <c r="G432" s="1" t="s">
        <v>371</v>
      </c>
      <c r="H432" s="3" t="s">
        <v>372</v>
      </c>
      <c r="I432" s="3" t="s">
        <v>373</v>
      </c>
      <c r="K432" s="10"/>
      <c r="N432" s="10"/>
    </row>
    <row r="433" customFormat="false" ht="18.7" hidden="false" customHeight="true" outlineLevel="0" collapsed="false">
      <c r="A433" s="1" t="n">
        <v>432</v>
      </c>
      <c r="B433" s="7" t="str">
        <f aca="false">HYPERLINK("https://mncourtfraud.com/file/TJ-10.zip","TJ-10.zip")</f>
        <v>TJ-10.zip</v>
      </c>
      <c r="C433" s="8" t="str">
        <f aca="false">HYPERLINK("https://mncourtfraud.com/file/27-CR-19-19606.pdf","27-CR-19-19606")</f>
        <v>27-CR-19-19606</v>
      </c>
      <c r="D433" s="3" t="s">
        <v>334</v>
      </c>
      <c r="E433" s="8" t="str">
        <f aca="false">HYPERLINK("https://mncourtfraud.com/file/MCRO_27-CR-19-19606_Petition to Proceed as ProSe Counsel_2020-09-09_20240430092056.pdf","MCRO_27-CR-19-19606_Petition to Proceed as ProSe Counsel_2020-09-09_20240430092056.pdf")</f>
        <v>MCRO_27-CR-19-19606_Petition to Proceed as ProSe Counsel_2020-09-09_20240430092056.pdf</v>
      </c>
      <c r="F433" s="9" t="n">
        <v>44083</v>
      </c>
      <c r="G433" s="1" t="s">
        <v>371</v>
      </c>
      <c r="H433" s="3" t="s">
        <v>372</v>
      </c>
      <c r="I433" s="3" t="s">
        <v>373</v>
      </c>
      <c r="K433" s="10"/>
      <c r="N433" s="10"/>
    </row>
    <row r="434" customFormat="false" ht="18.7" hidden="false" customHeight="true" outlineLevel="0" collapsed="false">
      <c r="A434" s="1" t="n">
        <v>433</v>
      </c>
      <c r="B434" s="7" t="str">
        <f aca="false">HYPERLINK("https://mncourtfraud.com/file/TJ-10.zip","TJ-10.zip")</f>
        <v>TJ-10.zip</v>
      </c>
      <c r="C434" s="8" t="str">
        <f aca="false">HYPERLINK("https://mncourtfraud.com/file/27-CR-20-8926.pdf","27-CR-20-8926")</f>
        <v>27-CR-20-8926</v>
      </c>
      <c r="D434" s="3" t="s">
        <v>334</v>
      </c>
      <c r="E434" s="8" t="str">
        <f aca="false">HYPERLINK("https://mncourtfraud.com/file/MCRO_27-CR-20-8926_Petition to Proceed as ProSe Counsel_2020-09-09_20240430085448.pdf","MCRO_27-CR-20-8926_Petition to Proceed as ProSe Counsel_2020-09-09_20240430085448.pdf")</f>
        <v>MCRO_27-CR-20-8926_Petition to Proceed as ProSe Counsel_2020-09-09_20240430085448.pdf</v>
      </c>
      <c r="F434" s="9" t="n">
        <v>44083</v>
      </c>
      <c r="G434" s="1" t="s">
        <v>371</v>
      </c>
      <c r="H434" s="3" t="s">
        <v>372</v>
      </c>
      <c r="I434" s="3" t="s">
        <v>373</v>
      </c>
      <c r="K434" s="10"/>
      <c r="N434" s="10"/>
    </row>
    <row r="435" customFormat="false" ht="18.7" hidden="false" customHeight="true" outlineLevel="0" collapsed="false">
      <c r="A435" s="1" t="n">
        <v>434</v>
      </c>
      <c r="F435" s="9"/>
      <c r="K435" s="10"/>
      <c r="N435" s="10"/>
    </row>
    <row r="436" customFormat="false" ht="18.7" hidden="false" customHeight="true" outlineLevel="0" collapsed="false">
      <c r="A436" s="1" t="n">
        <v>435</v>
      </c>
      <c r="B436" s="7" t="str">
        <f aca="false">HYPERLINK("https://mncourtfraud.com/file/TJ-11.zip","TJ-11.zip")</f>
        <v>TJ-11.zip</v>
      </c>
      <c r="C436" s="8" t="str">
        <f aca="false">HYPERLINK("https://mncourtfraud.com/file/27-CR-19-12466.pdf","27-CR-19-12466")</f>
        <v>27-CR-19-12466</v>
      </c>
      <c r="D436" s="3" t="s">
        <v>334</v>
      </c>
      <c r="E436" s="8" t="str">
        <f aca="false">HYPERLINK("https://mncourtfraud.com/file/MCRO_27-CR-19-12466_Notice of Appearance_2020-10-23_20240430091839.pdf","MCRO_27-CR-19-12466_Notice of Appearance_2020-10-23_20240430091839.pdf")</f>
        <v>MCRO_27-CR-19-12466_Notice of Appearance_2020-10-23_20240430091839.pdf</v>
      </c>
      <c r="F436" s="9" t="n">
        <v>44127</v>
      </c>
      <c r="G436" s="1" t="s">
        <v>374</v>
      </c>
      <c r="H436" s="3" t="s">
        <v>375</v>
      </c>
      <c r="I436" s="3" t="s">
        <v>376</v>
      </c>
      <c r="K436" s="10"/>
      <c r="N436" s="10"/>
    </row>
    <row r="437" customFormat="false" ht="18.7" hidden="false" customHeight="true" outlineLevel="0" collapsed="false">
      <c r="A437" s="1" t="n">
        <v>436</v>
      </c>
      <c r="B437" s="7" t="str">
        <f aca="false">HYPERLINK("https://mncourtfraud.com/file/TJ-11.zip","TJ-11.zip")</f>
        <v>TJ-11.zip</v>
      </c>
      <c r="C437" s="8" t="str">
        <f aca="false">HYPERLINK("https://mncourtfraud.com/file/27-CR-19-19606.pdf","27-CR-19-19606")</f>
        <v>27-CR-19-19606</v>
      </c>
      <c r="D437" s="3" t="s">
        <v>334</v>
      </c>
      <c r="E437" s="8" t="str">
        <f aca="false">HYPERLINK("https://mncourtfraud.com/file/MCRO_27-CR-19-19606_Notice of Appearance_2020-10-23_20240430092054.pdf","MCRO_27-CR-19-19606_Notice of Appearance_2020-10-23_20240430092054.pdf")</f>
        <v>MCRO_27-CR-19-19606_Notice of Appearance_2020-10-23_20240430092054.pdf</v>
      </c>
      <c r="F437" s="9" t="n">
        <v>44127</v>
      </c>
      <c r="G437" s="1" t="s">
        <v>374</v>
      </c>
      <c r="H437" s="3" t="s">
        <v>375</v>
      </c>
      <c r="I437" s="3" t="s">
        <v>376</v>
      </c>
      <c r="K437" s="10"/>
      <c r="N437" s="10"/>
    </row>
    <row r="438" customFormat="false" ht="18.7" hidden="false" customHeight="true" outlineLevel="0" collapsed="false">
      <c r="A438" s="1" t="n">
        <v>437</v>
      </c>
      <c r="B438" s="7" t="str">
        <f aca="false">HYPERLINK("https://mncourtfraud.com/file/TJ-11.zip","TJ-11.zip")</f>
        <v>TJ-11.zip</v>
      </c>
      <c r="C438" s="8" t="str">
        <f aca="false">HYPERLINK("https://mncourtfraud.com/file/27-CR-20-8926.pdf","27-CR-20-8926")</f>
        <v>27-CR-20-8926</v>
      </c>
      <c r="D438" s="3" t="s">
        <v>334</v>
      </c>
      <c r="E438" s="8" t="str">
        <f aca="false">HYPERLINK("https://mncourtfraud.com/file/MCRO_27-CR-20-8926_Notice of Appearance_2020-10-23_20240430085447.pdf","MCRO_27-CR-20-8926_Notice of Appearance_2020-10-23_20240430085447.pdf")</f>
        <v>MCRO_27-CR-20-8926_Notice of Appearance_2020-10-23_20240430085447.pdf</v>
      </c>
      <c r="F438" s="9" t="n">
        <v>44127</v>
      </c>
      <c r="G438" s="1" t="s">
        <v>374</v>
      </c>
      <c r="H438" s="3" t="s">
        <v>375</v>
      </c>
      <c r="I438" s="3" t="s">
        <v>376</v>
      </c>
      <c r="K438" s="10"/>
      <c r="N438" s="10"/>
    </row>
    <row r="439" customFormat="false" ht="18.7" hidden="false" customHeight="true" outlineLevel="0" collapsed="false">
      <c r="A439" s="1" t="n">
        <v>438</v>
      </c>
      <c r="B439" s="7" t="str">
        <f aca="false">HYPERLINK("https://mncourtfraud.com/file/TJ-11.zip","TJ-11.zip")</f>
        <v>TJ-11.zip</v>
      </c>
      <c r="C439" s="8" t="str">
        <f aca="false">HYPERLINK("https://mncourtfraud.com/file/27-CR-20-20037.pdf","27-CR-20-20037")</f>
        <v>27-CR-20-20037</v>
      </c>
      <c r="D439" s="3" t="s">
        <v>334</v>
      </c>
      <c r="E439" s="8" t="str">
        <f aca="false">HYPERLINK("https://mncourtfraud.com/file/MCRO_27-CR-20-20037_Notice of Appearance_2020-10-23_20240430090155.pdf","MCRO_27-CR-20-20037_Notice of Appearance_2020-10-23_20240430090155.pdf")</f>
        <v>MCRO_27-CR-20-20037_Notice of Appearance_2020-10-23_20240430090155.pdf</v>
      </c>
      <c r="F439" s="9" t="n">
        <v>44127</v>
      </c>
      <c r="G439" s="1" t="s">
        <v>374</v>
      </c>
      <c r="H439" s="3" t="s">
        <v>375</v>
      </c>
      <c r="I439" s="3" t="s">
        <v>376</v>
      </c>
      <c r="K439" s="10"/>
      <c r="N439" s="10"/>
    </row>
    <row r="440" customFormat="false" ht="18.7" hidden="false" customHeight="true" outlineLevel="0" collapsed="false">
      <c r="A440" s="1" t="n">
        <v>439</v>
      </c>
      <c r="B440" s="7" t="str">
        <f aca="false">HYPERLINK("https://mncourtfraud.com/file/TJ-11.zip","TJ-11.zip")</f>
        <v>TJ-11.zip</v>
      </c>
      <c r="C440" s="8" t="str">
        <f aca="false">HYPERLINK("https://mncourtfraud.com/file/27-CR-20-20037.pdf","27-CR-20-20037")</f>
        <v>27-CR-20-20037</v>
      </c>
      <c r="D440" s="3" t="s">
        <v>334</v>
      </c>
      <c r="E440" s="8" t="str">
        <f aca="false">HYPERLINK("https://mncourtfraud.com/file/MCRO_27-CR-20-20037_Probation Referral Notification_2020-10-23_20240430090153.pdf","MCRO_27-CR-20-20037_Probation Referral Notification_2020-10-23_20240430090153.pdf")</f>
        <v>MCRO_27-CR-20-20037_Probation Referral Notification_2020-10-23_20240430090153.pdf</v>
      </c>
      <c r="F440" s="9" t="n">
        <v>44127</v>
      </c>
      <c r="G440" s="1" t="s">
        <v>374</v>
      </c>
      <c r="H440" s="3" t="s">
        <v>377</v>
      </c>
      <c r="I440" s="3" t="s">
        <v>378</v>
      </c>
      <c r="K440" s="10"/>
      <c r="N440" s="10"/>
    </row>
    <row r="441" customFormat="false" ht="18.7" hidden="false" customHeight="true" outlineLevel="0" collapsed="false">
      <c r="A441" s="1" t="n">
        <v>440</v>
      </c>
      <c r="F441" s="9"/>
      <c r="K441" s="10"/>
      <c r="N441" s="10"/>
    </row>
    <row r="442" customFormat="false" ht="18.7" hidden="false" customHeight="true" outlineLevel="0" collapsed="false">
      <c r="A442" s="1" t="n">
        <v>441</v>
      </c>
      <c r="B442" s="7" t="str">
        <f aca="false">HYPERLINK("https://mncourtfraud.com/file/TJ-12.zip","TJ-12.zip")</f>
        <v>TJ-12.zip</v>
      </c>
      <c r="C442" s="8" t="str">
        <f aca="false">HYPERLINK("https://mncourtfraud.com/file/27-CR-19-12466.pdf","27-CR-19-12466")</f>
        <v>27-CR-19-12466</v>
      </c>
      <c r="D442" s="3" t="s">
        <v>334</v>
      </c>
      <c r="E442" s="8" t="str">
        <f aca="false">HYPERLINK("https://mncourtfraud.com/file/MCRO_27-CR-19-12466_Notice of Hearing_2021-02-22_20240430091838.pdf","MCRO_27-CR-19-12466_Notice of Hearing_2021-02-22_20240430091838.pdf")</f>
        <v>MCRO_27-CR-19-12466_Notice of Hearing_2021-02-22_20240430091838.pdf</v>
      </c>
      <c r="F442" s="9" t="n">
        <v>44249</v>
      </c>
      <c r="G442" s="1" t="s">
        <v>379</v>
      </c>
      <c r="H442" s="3" t="s">
        <v>380</v>
      </c>
      <c r="I442" s="3" t="s">
        <v>381</v>
      </c>
      <c r="K442" s="10"/>
      <c r="N442" s="10"/>
    </row>
    <row r="443" customFormat="false" ht="18.7" hidden="false" customHeight="true" outlineLevel="0" collapsed="false">
      <c r="A443" s="1" t="n">
        <v>442</v>
      </c>
      <c r="B443" s="7" t="str">
        <f aca="false">HYPERLINK("https://mncourtfraud.com/file/TJ-12.zip","TJ-12.zip")</f>
        <v>TJ-12.zip</v>
      </c>
      <c r="C443" s="8" t="str">
        <f aca="false">HYPERLINK("https://mncourtfraud.com/file/27-CR-19-19606.pdf","27-CR-19-19606")</f>
        <v>27-CR-19-19606</v>
      </c>
      <c r="D443" s="3" t="s">
        <v>334</v>
      </c>
      <c r="E443" s="8" t="str">
        <f aca="false">HYPERLINK("https://mncourtfraud.com/file/MCRO_27-CR-19-19606_Notice of Hearing_2021-02-22_20240430092053.pdf","MCRO_27-CR-19-19606_Notice of Hearing_2021-02-22_20240430092053.pdf")</f>
        <v>MCRO_27-CR-19-19606_Notice of Hearing_2021-02-22_20240430092053.pdf</v>
      </c>
      <c r="F443" s="9" t="n">
        <v>44249</v>
      </c>
      <c r="G443" s="1" t="s">
        <v>379</v>
      </c>
      <c r="H443" s="3" t="s">
        <v>380</v>
      </c>
      <c r="I443" s="3" t="s">
        <v>381</v>
      </c>
      <c r="K443" s="10"/>
      <c r="N443" s="10"/>
    </row>
    <row r="444" customFormat="false" ht="18.7" hidden="false" customHeight="true" outlineLevel="0" collapsed="false">
      <c r="A444" s="1" t="n">
        <v>443</v>
      </c>
      <c r="B444" s="7" t="str">
        <f aca="false">HYPERLINK("https://mncourtfraud.com/file/TJ-12.zip","TJ-12.zip")</f>
        <v>TJ-12.zip</v>
      </c>
      <c r="C444" s="8" t="str">
        <f aca="false">HYPERLINK("https://mncourtfraud.com/file/27-CR-20-20037.pdf","27-CR-20-20037")</f>
        <v>27-CR-20-20037</v>
      </c>
      <c r="D444" s="3" t="s">
        <v>334</v>
      </c>
      <c r="E444" s="8" t="str">
        <f aca="false">HYPERLINK("https://mncourtfraud.com/file/MCRO_27-CR-20-20037_Notice of Hearing_2021-02-22_20240430090150.pdf","MCRO_27-CR-20-20037_Notice of Hearing_2021-02-22_20240430090150.pdf")</f>
        <v>MCRO_27-CR-20-20037_Notice of Hearing_2021-02-22_20240430090150.pdf</v>
      </c>
      <c r="F444" s="9" t="n">
        <v>44249</v>
      </c>
      <c r="G444" s="1" t="s">
        <v>379</v>
      </c>
      <c r="H444" s="3" t="s">
        <v>380</v>
      </c>
      <c r="I444" s="3" t="s">
        <v>381</v>
      </c>
      <c r="K444" s="10"/>
      <c r="N444" s="10"/>
    </row>
    <row r="445" customFormat="false" ht="18.7" hidden="false" customHeight="true" outlineLevel="0" collapsed="false">
      <c r="A445" s="1" t="n">
        <v>444</v>
      </c>
      <c r="B445" s="7" t="str">
        <f aca="false">HYPERLINK("https://mncourtfraud.com/file/TJ-12.zip","TJ-12.zip")</f>
        <v>TJ-12.zip</v>
      </c>
      <c r="C445" s="8" t="str">
        <f aca="false">HYPERLINK("https://mncourtfraud.com/file/27-CR-20-8926.pdf","27-CR-20-8926")</f>
        <v>27-CR-20-8926</v>
      </c>
      <c r="D445" s="3" t="s">
        <v>334</v>
      </c>
      <c r="E445" s="8" t="str">
        <f aca="false">HYPERLINK("https://mncourtfraud.com/file/MCRO_27-CR-20-8926_Notice of Hearing_2021-02-22_20240430085446.pdf","MCRO_27-CR-20-8926_Notice of Hearing_2021-02-22_20240430085446.pdf")</f>
        <v>MCRO_27-CR-20-8926_Notice of Hearing_2021-02-22_20240430085446.pdf</v>
      </c>
      <c r="F445" s="9" t="n">
        <v>44249</v>
      </c>
      <c r="G445" s="1" t="s">
        <v>379</v>
      </c>
      <c r="H445" s="3" t="s">
        <v>380</v>
      </c>
      <c r="I445" s="3" t="s">
        <v>381</v>
      </c>
      <c r="K445" s="10"/>
      <c r="N445" s="10"/>
    </row>
    <row r="446" customFormat="false" ht="18.7" hidden="false" customHeight="true" outlineLevel="0" collapsed="false">
      <c r="A446" s="1" t="n">
        <v>445</v>
      </c>
      <c r="F446" s="9"/>
      <c r="K446" s="10"/>
      <c r="N446" s="10"/>
    </row>
    <row r="447" customFormat="false" ht="18.7" hidden="false" customHeight="true" outlineLevel="0" collapsed="false">
      <c r="A447" s="1" t="n">
        <v>446</v>
      </c>
      <c r="B447" s="7" t="str">
        <f aca="false">HYPERLINK("https://mncourtfraud.com/file/TJ-13.zip","TJ-13.zip")</f>
        <v>TJ-13.zip</v>
      </c>
      <c r="C447" s="8" t="str">
        <f aca="false">HYPERLINK("https://mncourtfraud.com/file/27-CR-22-1165.pdf","27-CR-22-1165")</f>
        <v>27-CR-22-1165</v>
      </c>
      <c r="D447" s="3" t="s">
        <v>334</v>
      </c>
      <c r="E447" s="8" t="str">
        <f aca="false">HYPERLINK("https://mncourtfraud.com/file/MCRO_27-CR-22-1165_Order for Conditional Release_2022-01-21_20240429030440.pdf","MCRO_27-CR-22-1165_Order for Conditional Release_2022-01-21_20240429030440.pdf")</f>
        <v>MCRO_27-CR-22-1165_Order for Conditional Release_2022-01-21_20240429030440.pdf</v>
      </c>
      <c r="F447" s="9" t="n">
        <v>44582</v>
      </c>
      <c r="G447" s="1" t="s">
        <v>90</v>
      </c>
      <c r="H447" s="3" t="s">
        <v>91</v>
      </c>
      <c r="I447" s="3" t="s">
        <v>382</v>
      </c>
      <c r="K447" s="10"/>
      <c r="N447" s="10"/>
    </row>
    <row r="448" customFormat="false" ht="18.7" hidden="false" customHeight="true" outlineLevel="0" collapsed="false">
      <c r="A448" s="1" t="n">
        <v>447</v>
      </c>
      <c r="B448" s="7" t="str">
        <f aca="false">HYPERLINK("https://mncourtfraud.com/file/TJ-13.zip","TJ-13.zip")</f>
        <v>TJ-13.zip</v>
      </c>
      <c r="C448" s="8" t="str">
        <f aca="false">HYPERLINK("https://mncourtfraud.com/file/27-CR-22-4898.pdf","27-CR-22-4898")</f>
        <v>27-CR-22-4898</v>
      </c>
      <c r="D448" s="3" t="s">
        <v>334</v>
      </c>
      <c r="E448" s="8" t="str">
        <f aca="false">HYPERLINK("https://mncourtfraud.com/file/MCRO_27-CR-22-4898_Order for Conditional Release_2022-03-17_20240429040230.pdf","MCRO_27-CR-22-4898_Order for Conditional Release_2022-03-17_20240429040230.pdf")</f>
        <v>MCRO_27-CR-22-4898_Order for Conditional Release_2022-03-17_20240429040230.pdf</v>
      </c>
      <c r="F448" s="9" t="n">
        <v>44637</v>
      </c>
      <c r="G448" s="1" t="s">
        <v>90</v>
      </c>
      <c r="H448" s="3" t="s">
        <v>91</v>
      </c>
      <c r="I448" s="3" t="s">
        <v>383</v>
      </c>
      <c r="K448" s="10"/>
      <c r="N448" s="10"/>
    </row>
    <row r="449" customFormat="false" ht="18.7" hidden="false" customHeight="true" outlineLevel="0" collapsed="false">
      <c r="A449" s="1" t="n">
        <v>448</v>
      </c>
      <c r="F449" s="9"/>
      <c r="K449" s="10"/>
      <c r="N449" s="10"/>
    </row>
    <row r="450" customFormat="false" ht="18.7" hidden="false" customHeight="true" outlineLevel="0" collapsed="false">
      <c r="A450" s="1" t="n">
        <v>449</v>
      </c>
      <c r="B450" s="7" t="str">
        <f aca="false">HYPERLINK("https://mncourtfraud.com/file/TJ-14.zip","TJ-14.zip")</f>
        <v>TJ-14.zip</v>
      </c>
      <c r="C450" s="8" t="str">
        <f aca="false">HYPERLINK("https://mncourtfraud.com/file/27-CR-19-12466.pdf","27-CR-19-12466")</f>
        <v>27-CR-19-12466</v>
      </c>
      <c r="D450" s="3" t="s">
        <v>334</v>
      </c>
      <c r="E450" s="8" t="str">
        <f aca="false">HYPERLINK("https://mncourtfraud.com/file/MCRO_27-CR-19-12466_Notice of Appearance_2021-05-19_20240430091834.pdf","MCRO_27-CR-19-12466_Notice of Appearance_2021-05-19_20240430091834.pdf")</f>
        <v>MCRO_27-CR-19-12466_Notice of Appearance_2021-05-19_20240430091834.pdf</v>
      </c>
      <c r="F450" s="9" t="n">
        <v>44335</v>
      </c>
      <c r="G450" s="1" t="s">
        <v>384</v>
      </c>
      <c r="H450" s="3" t="s">
        <v>385</v>
      </c>
      <c r="I450" s="3" t="s">
        <v>386</v>
      </c>
      <c r="K450" s="10"/>
      <c r="N450" s="10"/>
    </row>
    <row r="451" customFormat="false" ht="18.7" hidden="false" customHeight="true" outlineLevel="0" collapsed="false">
      <c r="A451" s="1" t="n">
        <v>450</v>
      </c>
      <c r="B451" s="7" t="str">
        <f aca="false">HYPERLINK("https://mncourtfraud.com/file/TJ-14.zip","TJ-14.zip")</f>
        <v>TJ-14.zip</v>
      </c>
      <c r="C451" s="8" t="str">
        <f aca="false">HYPERLINK("https://mncourtfraud.com/file/27-CR-19-19606.pdf","27-CR-19-19606")</f>
        <v>27-CR-19-19606</v>
      </c>
      <c r="D451" s="3" t="s">
        <v>334</v>
      </c>
      <c r="E451" s="8" t="str">
        <f aca="false">HYPERLINK("https://mncourtfraud.com/file/MCRO_27-CR-19-19606_Notice of Appearance_2021-05-19_20240430092051.pdf","MCRO_27-CR-19-19606_Notice of Appearance_2021-05-19_20240430092051.pdf")</f>
        <v>MCRO_27-CR-19-19606_Notice of Appearance_2021-05-19_20240430092051.pdf</v>
      </c>
      <c r="F451" s="9" t="n">
        <v>44335</v>
      </c>
      <c r="G451" s="1" t="s">
        <v>384</v>
      </c>
      <c r="H451" s="3" t="s">
        <v>385</v>
      </c>
      <c r="I451" s="3" t="s">
        <v>386</v>
      </c>
      <c r="K451" s="10"/>
      <c r="N451" s="10"/>
    </row>
    <row r="452" customFormat="false" ht="18.7" hidden="false" customHeight="true" outlineLevel="0" collapsed="false">
      <c r="A452" s="1" t="n">
        <v>451</v>
      </c>
      <c r="F452" s="9"/>
      <c r="K452" s="10"/>
      <c r="N452" s="10"/>
    </row>
    <row r="453" customFormat="false" ht="18.7" hidden="false" customHeight="true" outlineLevel="0" collapsed="false">
      <c r="A453" s="1" t="n">
        <v>452</v>
      </c>
      <c r="B453" s="7" t="str">
        <f aca="false">HYPERLINK("https://mncourtfraud.com/file/TJ-15.zip","TJ-15.zip")</f>
        <v>TJ-15.zip</v>
      </c>
      <c r="C453" s="8" t="str">
        <f aca="false">HYPERLINK("https://mncourtfraud.com/file/27-CR-19-12466.pdf","27-CR-19-12466")</f>
        <v>27-CR-19-12466</v>
      </c>
      <c r="D453" s="3" t="s">
        <v>334</v>
      </c>
      <c r="E453" s="8" t="str">
        <f aca="false">HYPERLINK("https://mncourtfraud.com/file/MCRO_27-CR-19-12466_Order-Evaluation for Competency to Proceed (Rule 20.01)_2022-01-19_20240430091830.pdf","MCRO_27-CR-19-12466_Order-Evaluation for Competency to Proceed (Rule 20.01)_2022-01-19_20240430091830.pdf")</f>
        <v>MCRO_27-CR-19-12466_Order-Evaluation for Competency to Proceed (Rule 20.01)_2022-01-19_20240430091830.pdf</v>
      </c>
      <c r="F453" s="9" t="n">
        <v>44580</v>
      </c>
      <c r="G453" s="1" t="s">
        <v>387</v>
      </c>
      <c r="H453" s="3" t="s">
        <v>388</v>
      </c>
      <c r="I453" s="3" t="s">
        <v>388</v>
      </c>
      <c r="J453" s="3" t="s">
        <v>389</v>
      </c>
      <c r="K453" s="10" t="s">
        <v>390</v>
      </c>
      <c r="L453" s="3" t="s">
        <v>391</v>
      </c>
      <c r="N453" s="10"/>
    </row>
    <row r="454" customFormat="false" ht="18.7" hidden="false" customHeight="true" outlineLevel="0" collapsed="false">
      <c r="A454" s="1" t="n">
        <v>453</v>
      </c>
      <c r="B454" s="7" t="str">
        <f aca="false">HYPERLINK("https://mncourtfraud.com/file/TJ-15.zip","TJ-15.zip")</f>
        <v>TJ-15.zip</v>
      </c>
      <c r="C454" s="8" t="str">
        <f aca="false">HYPERLINK("https://mncourtfraud.com/file/27-CR-19-19606.pdf","27-CR-19-19606")</f>
        <v>27-CR-19-19606</v>
      </c>
      <c r="D454" s="3" t="s">
        <v>334</v>
      </c>
      <c r="E454" s="8" t="str">
        <f aca="false">HYPERLINK("https://mncourtfraud.com/file/MCRO_27-CR-19-19606_Order-Evaluation for Competency to Proceed (Rule 20.01)_2022-01-19_20240430092047.pdf","MCRO_27-CR-19-19606_Order-Evaluation for Competency to Proceed (Rule 20.01)_2022-01-19_20240430092047.pdf")</f>
        <v>MCRO_27-CR-19-19606_Order-Evaluation for Competency to Proceed (Rule 20.01)_2022-01-19_20240430092047.pdf</v>
      </c>
      <c r="F454" s="9" t="n">
        <v>44580</v>
      </c>
      <c r="G454" s="1" t="s">
        <v>387</v>
      </c>
      <c r="H454" s="3" t="s">
        <v>388</v>
      </c>
      <c r="I454" s="3" t="s">
        <v>388</v>
      </c>
      <c r="J454" s="3" t="s">
        <v>389</v>
      </c>
      <c r="K454" s="10" t="s">
        <v>390</v>
      </c>
      <c r="L454" s="3" t="s">
        <v>391</v>
      </c>
      <c r="N454" s="10"/>
    </row>
    <row r="455" customFormat="false" ht="18.7" hidden="false" customHeight="true" outlineLevel="0" collapsed="false">
      <c r="A455" s="1" t="n">
        <v>454</v>
      </c>
      <c r="B455" s="7" t="str">
        <f aca="false">HYPERLINK("https://mncourtfraud.com/file/TJ-15.zip","TJ-15.zip")</f>
        <v>TJ-15.zip</v>
      </c>
      <c r="C455" s="8" t="str">
        <f aca="false">HYPERLINK("https://mncourtfraud.com/file/27-CR-20-20037.pdf","27-CR-20-20037")</f>
        <v>27-CR-20-20037</v>
      </c>
      <c r="D455" s="3" t="s">
        <v>334</v>
      </c>
      <c r="E455" s="8" t="str">
        <f aca="false">HYPERLINK("https://mncourtfraud.com/file/MCRO_27-CR-20-20037_Order-Evaluation for Competency to Proceed (Rule 20.01)_2022-01-19_20240430090145.pdf","MCRO_27-CR-20-20037_Order-Evaluation for Competency to Proceed (Rule 20.01)_2022-01-19_20240430090145.pdf")</f>
        <v>MCRO_27-CR-20-20037_Order-Evaluation for Competency to Proceed (Rule 20.01)_2022-01-19_20240430090145.pdf</v>
      </c>
      <c r="F455" s="9" t="n">
        <v>44580</v>
      </c>
      <c r="G455" s="1" t="s">
        <v>387</v>
      </c>
      <c r="H455" s="3" t="s">
        <v>388</v>
      </c>
      <c r="I455" s="3" t="s">
        <v>388</v>
      </c>
      <c r="J455" s="3" t="s">
        <v>389</v>
      </c>
      <c r="K455" s="10" t="s">
        <v>390</v>
      </c>
      <c r="L455" s="3" t="s">
        <v>391</v>
      </c>
      <c r="N455" s="10"/>
    </row>
    <row r="456" customFormat="false" ht="18.7" hidden="false" customHeight="true" outlineLevel="0" collapsed="false">
      <c r="A456" s="1" t="n">
        <v>455</v>
      </c>
      <c r="B456" s="7" t="str">
        <f aca="false">HYPERLINK("https://mncourtfraud.com/file/TJ-15.zip","TJ-15.zip")</f>
        <v>TJ-15.zip</v>
      </c>
      <c r="C456" s="8" t="str">
        <f aca="false">HYPERLINK("https://mncourtfraud.com/file/27-CR-20-8926.pdf","27-CR-20-8926")</f>
        <v>27-CR-20-8926</v>
      </c>
      <c r="D456" s="3" t="s">
        <v>334</v>
      </c>
      <c r="E456" s="8" t="str">
        <f aca="false">HYPERLINK("https://mncourtfraud.com/file/MCRO_27-CR-20-8926_Order-Evaluation for Competency to Proceed (Rule 20.01)_2022-01-19_20240430085443.pdf","MCRO_27-CR-20-8926_Order-Evaluation for Competency to Proceed (Rule 20.01)_2022-01-19_20240430085443.pdf")</f>
        <v>MCRO_27-CR-20-8926_Order-Evaluation for Competency to Proceed (Rule 20.01)_2022-01-19_20240430085443.pdf</v>
      </c>
      <c r="F456" s="9" t="n">
        <v>44580</v>
      </c>
      <c r="G456" s="1" t="s">
        <v>387</v>
      </c>
      <c r="H456" s="3" t="s">
        <v>388</v>
      </c>
      <c r="I456" s="3" t="s">
        <v>388</v>
      </c>
      <c r="J456" s="3" t="s">
        <v>389</v>
      </c>
      <c r="K456" s="10" t="s">
        <v>390</v>
      </c>
      <c r="L456" s="3" t="s">
        <v>391</v>
      </c>
      <c r="N456" s="10"/>
    </row>
    <row r="457" customFormat="false" ht="18.7" hidden="false" customHeight="true" outlineLevel="0" collapsed="false">
      <c r="A457" s="1" t="n">
        <v>456</v>
      </c>
      <c r="B457" s="7" t="str">
        <f aca="false">HYPERLINK("https://mncourtfraud.com/file/TJ-15.zip","TJ-15.zip")</f>
        <v>TJ-15.zip</v>
      </c>
      <c r="C457" s="8" t="str">
        <f aca="false">HYPERLINK("https://mncourtfraud.com/file/27-CR-21-23233.pdf","27-CR-21-23233")</f>
        <v>27-CR-21-23233</v>
      </c>
      <c r="D457" s="3" t="s">
        <v>334</v>
      </c>
      <c r="E457" s="8" t="str">
        <f aca="false">HYPERLINK("https://mncourtfraud.com/file/MCRO_27-CR-21-23233_Order-Evaluation for Competency to Proceed (Rule 20.01)_2022-01-19_20240430084228.pdf","MCRO_27-CR-21-23233_Order-Evaluation for Competency to Proceed (Rule 20.01)_2022-01-19_20240430084228.pdf")</f>
        <v>MCRO_27-CR-21-23233_Order-Evaluation for Competency to Proceed (Rule 20.01)_2022-01-19_20240430084228.pdf</v>
      </c>
      <c r="F457" s="9" t="n">
        <v>44580</v>
      </c>
      <c r="G457" s="1" t="s">
        <v>387</v>
      </c>
      <c r="H457" s="3" t="s">
        <v>388</v>
      </c>
      <c r="I457" s="3" t="s">
        <v>388</v>
      </c>
      <c r="J457" s="3" t="s">
        <v>389</v>
      </c>
      <c r="K457" s="10" t="s">
        <v>390</v>
      </c>
      <c r="L457" s="3" t="s">
        <v>391</v>
      </c>
      <c r="N457" s="10"/>
    </row>
    <row r="458" customFormat="false" ht="18.7" hidden="false" customHeight="true" outlineLevel="0" collapsed="false">
      <c r="A458" s="1" t="n">
        <v>457</v>
      </c>
      <c r="F458" s="9"/>
      <c r="K458" s="10"/>
      <c r="N458" s="10"/>
    </row>
    <row r="459" customFormat="false" ht="18.7" hidden="false" customHeight="true" outlineLevel="0" collapsed="false">
      <c r="A459" s="1" t="n">
        <v>458</v>
      </c>
      <c r="B459" s="7" t="str">
        <f aca="false">HYPERLINK("https://mncourtfraud.com/file/TJ-16.zip","TJ-16.zip")</f>
        <v>TJ-16.zip</v>
      </c>
      <c r="C459" s="8" t="str">
        <f aca="false">HYPERLINK("https://mncourtfraud.com/file/27-CR-19-12466.pdf","27-CR-19-12466")</f>
        <v>27-CR-19-12466</v>
      </c>
      <c r="D459" s="3" t="s">
        <v>334</v>
      </c>
      <c r="E459" s="8" t="str">
        <f aca="false">HYPERLINK("https://mncourtfraud.com/file/MCRO_27-CR-19-12466_Order for Conditional Release_2022-02-16_20240430091829.pdf","MCRO_27-CR-19-12466_Order for Conditional Release_2022-02-16_20240430091829.pdf")</f>
        <v>MCRO_27-CR-19-12466_Order for Conditional Release_2022-02-16_20240430091829.pdf</v>
      </c>
      <c r="F459" s="9" t="n">
        <v>44608</v>
      </c>
      <c r="G459" s="1" t="s">
        <v>392</v>
      </c>
      <c r="H459" s="3" t="s">
        <v>393</v>
      </c>
      <c r="I459" s="3" t="s">
        <v>394</v>
      </c>
      <c r="J459" s="3" t="s">
        <v>389</v>
      </c>
      <c r="K459" s="10" t="s">
        <v>395</v>
      </c>
      <c r="L459" s="3" t="s">
        <v>396</v>
      </c>
      <c r="N459" s="10"/>
    </row>
    <row r="460" customFormat="false" ht="18.7" hidden="false" customHeight="true" outlineLevel="0" collapsed="false">
      <c r="A460" s="1" t="n">
        <v>459</v>
      </c>
      <c r="B460" s="7" t="str">
        <f aca="false">HYPERLINK("https://mncourtfraud.com/file/TJ-16.zip","TJ-16.zip")</f>
        <v>TJ-16.zip</v>
      </c>
      <c r="C460" s="8" t="str">
        <f aca="false">HYPERLINK("https://mncourtfraud.com/file/27-CR-19-19606.pdf","27-CR-19-19606")</f>
        <v>27-CR-19-19606</v>
      </c>
      <c r="D460" s="3" t="s">
        <v>334</v>
      </c>
      <c r="E460" s="8" t="str">
        <f aca="false">HYPERLINK("https://mncourtfraud.com/file/MCRO_27-CR-19-19606_Order for Conditional Release_2022-02-16_20240430092046.pdf","MCRO_27-CR-19-19606_Order for Conditional Release_2022-02-16_20240430092046.pdf")</f>
        <v>MCRO_27-CR-19-19606_Order for Conditional Release_2022-02-16_20240430092046.pdf</v>
      </c>
      <c r="F460" s="9" t="n">
        <v>44608</v>
      </c>
      <c r="G460" s="1" t="s">
        <v>392</v>
      </c>
      <c r="H460" s="3" t="s">
        <v>393</v>
      </c>
      <c r="I460" s="3" t="s">
        <v>394</v>
      </c>
      <c r="J460" s="3" t="s">
        <v>389</v>
      </c>
      <c r="K460" s="10" t="s">
        <v>395</v>
      </c>
      <c r="L460" s="3" t="s">
        <v>396</v>
      </c>
      <c r="N460" s="10"/>
    </row>
    <row r="461" customFormat="false" ht="18.7" hidden="false" customHeight="true" outlineLevel="0" collapsed="false">
      <c r="A461" s="1" t="n">
        <v>460</v>
      </c>
      <c r="B461" s="7" t="str">
        <f aca="false">HYPERLINK("https://mncourtfraud.com/file/TJ-16.zip","TJ-16.zip")</f>
        <v>TJ-16.zip</v>
      </c>
      <c r="C461" s="8" t="str">
        <f aca="false">HYPERLINK("https://mncourtfraud.com/file/27-CR-20-20037.pdf","27-CR-20-20037")</f>
        <v>27-CR-20-20037</v>
      </c>
      <c r="D461" s="3" t="s">
        <v>334</v>
      </c>
      <c r="E461" s="8" t="str">
        <f aca="false">HYPERLINK("https://mncourtfraud.com/file/MCRO_27-CR-20-20037_Order for Conditional Release_2022-02-16_20240430090145.pdf","MCRO_27-CR-20-20037_Order for Conditional Release_2022-02-16_20240430090145.pdf")</f>
        <v>MCRO_27-CR-20-20037_Order for Conditional Release_2022-02-16_20240430090145.pdf</v>
      </c>
      <c r="F461" s="9" t="n">
        <v>44608</v>
      </c>
      <c r="G461" s="1" t="s">
        <v>392</v>
      </c>
      <c r="H461" s="3" t="s">
        <v>393</v>
      </c>
      <c r="I461" s="3" t="s">
        <v>394</v>
      </c>
      <c r="J461" s="3" t="s">
        <v>389</v>
      </c>
      <c r="K461" s="10" t="s">
        <v>395</v>
      </c>
      <c r="L461" s="3" t="s">
        <v>396</v>
      </c>
      <c r="N461" s="10"/>
    </row>
    <row r="462" customFormat="false" ht="18.7" hidden="false" customHeight="true" outlineLevel="0" collapsed="false">
      <c r="A462" s="1" t="n">
        <v>461</v>
      </c>
      <c r="B462" s="7" t="str">
        <f aca="false">HYPERLINK("https://mncourtfraud.com/file/TJ-16.zip","TJ-16.zip")</f>
        <v>TJ-16.zip</v>
      </c>
      <c r="C462" s="8" t="str">
        <f aca="false">HYPERLINK("https://mncourtfraud.com/file/27-CR-20-8926.pdf","27-CR-20-8926")</f>
        <v>27-CR-20-8926</v>
      </c>
      <c r="D462" s="3" t="s">
        <v>334</v>
      </c>
      <c r="E462" s="8" t="str">
        <f aca="false">HYPERLINK("https://mncourtfraud.com/file/MCRO_27-CR-20-8926_Order for Conditional Release_2022-02-16_20240430085442.pdf","MCRO_27-CR-20-8926_Order for Conditional Release_2022-02-16_20240430085442.pdf")</f>
        <v>MCRO_27-CR-20-8926_Order for Conditional Release_2022-02-16_20240430085442.pdf</v>
      </c>
      <c r="F462" s="9" t="n">
        <v>44608</v>
      </c>
      <c r="G462" s="1" t="s">
        <v>392</v>
      </c>
      <c r="H462" s="3" t="s">
        <v>393</v>
      </c>
      <c r="I462" s="3" t="s">
        <v>394</v>
      </c>
      <c r="J462" s="3" t="s">
        <v>389</v>
      </c>
      <c r="K462" s="10" t="s">
        <v>395</v>
      </c>
      <c r="L462" s="3" t="s">
        <v>396</v>
      </c>
      <c r="N462" s="10"/>
    </row>
    <row r="463" customFormat="false" ht="18.7" hidden="false" customHeight="true" outlineLevel="0" collapsed="false">
      <c r="A463" s="1" t="n">
        <v>462</v>
      </c>
      <c r="B463" s="7" t="str">
        <f aca="false">HYPERLINK("https://mncourtfraud.com/file/TJ-16.zip","TJ-16.zip")</f>
        <v>TJ-16.zip</v>
      </c>
      <c r="C463" s="8" t="str">
        <f aca="false">HYPERLINK("https://mncourtfraud.com/file/27-CR-21-19552.pdf","27-CR-21-19552")</f>
        <v>27-CR-21-19552</v>
      </c>
      <c r="D463" s="3" t="s">
        <v>334</v>
      </c>
      <c r="E463" s="8" t="str">
        <f aca="false">HYPERLINK("https://mncourtfraud.com/file/MCRO_27-CR-21-19552_Order for Conditional Release_2022-02-16_20240430082848.pdf","MCRO_27-CR-21-19552_Order for Conditional Release_2022-02-16_20240430082848.pdf")</f>
        <v>MCRO_27-CR-21-19552_Order for Conditional Release_2022-02-16_20240430082848.pdf</v>
      </c>
      <c r="F463" s="9" t="n">
        <v>44608</v>
      </c>
      <c r="G463" s="1" t="s">
        <v>392</v>
      </c>
      <c r="H463" s="3" t="s">
        <v>393</v>
      </c>
      <c r="I463" s="3" t="s">
        <v>394</v>
      </c>
      <c r="J463" s="3" t="s">
        <v>389</v>
      </c>
      <c r="K463" s="10" t="s">
        <v>395</v>
      </c>
      <c r="L463" s="3" t="s">
        <v>396</v>
      </c>
      <c r="N463" s="10"/>
    </row>
    <row r="464" customFormat="false" ht="18.7" hidden="false" customHeight="true" outlineLevel="0" collapsed="false">
      <c r="A464" s="1" t="n">
        <v>463</v>
      </c>
      <c r="B464" s="7" t="str">
        <f aca="false">HYPERLINK("https://mncourtfraud.com/file/TJ-16.zip","TJ-16.zip")</f>
        <v>TJ-16.zip</v>
      </c>
      <c r="C464" s="8" t="str">
        <f aca="false">HYPERLINK("https://mncourtfraud.com/file/27-CR-21-23233.pdf","27-CR-21-23233")</f>
        <v>27-CR-21-23233</v>
      </c>
      <c r="D464" s="3" t="s">
        <v>334</v>
      </c>
      <c r="E464" s="8" t="str">
        <f aca="false">HYPERLINK("https://mncourtfraud.com/file/MCRO_27-CR-21-23233_Order for Conditional Release_2022-02-16_20240430084227.pdf","MCRO_27-CR-21-23233_Order for Conditional Release_2022-02-16_20240430084227.pdf")</f>
        <v>MCRO_27-CR-21-23233_Order for Conditional Release_2022-02-16_20240430084227.pdf</v>
      </c>
      <c r="F464" s="9" t="n">
        <v>44608</v>
      </c>
      <c r="G464" s="1" t="s">
        <v>392</v>
      </c>
      <c r="H464" s="3" t="s">
        <v>393</v>
      </c>
      <c r="I464" s="3" t="s">
        <v>394</v>
      </c>
      <c r="J464" s="3" t="s">
        <v>389</v>
      </c>
      <c r="K464" s="10" t="s">
        <v>395</v>
      </c>
      <c r="L464" s="3" t="s">
        <v>396</v>
      </c>
      <c r="N464" s="10"/>
    </row>
    <row r="465" customFormat="false" ht="18.7" hidden="false" customHeight="true" outlineLevel="0" collapsed="false">
      <c r="A465" s="1" t="n">
        <v>464</v>
      </c>
      <c r="F465" s="9"/>
      <c r="K465" s="10"/>
      <c r="N465" s="10"/>
    </row>
    <row r="466" customFormat="false" ht="18.7" hidden="false" customHeight="true" outlineLevel="0" collapsed="false">
      <c r="A466" s="1" t="n">
        <v>465</v>
      </c>
      <c r="B466" s="7" t="str">
        <f aca="false">HYPERLINK("https://mncourtfraud.com/file/TJ-17.zip","TJ-17.zip")</f>
        <v>TJ-17.zip</v>
      </c>
      <c r="C466" s="8" t="str">
        <f aca="false">HYPERLINK("https://mncourtfraud.com/file/27-CR-19-12466.pdf","27-CR-19-12466")</f>
        <v>27-CR-19-12466</v>
      </c>
      <c r="D466" s="3" t="s">
        <v>334</v>
      </c>
      <c r="E466" s="8" t="str">
        <f aca="false">HYPERLINK("https://mncourtfraud.com/file/MCRO_27-CR-19-12466_Findings and Order_2022-03-08_20240430091827.pdf","MCRO_27-CR-19-12466_Findings and Order_2022-03-08_20240430091827.pdf")</f>
        <v>MCRO_27-CR-19-12466_Findings and Order_2022-03-08_20240430091827.pdf</v>
      </c>
      <c r="F466" s="9" t="n">
        <v>44628</v>
      </c>
      <c r="G466" s="1" t="s">
        <v>397</v>
      </c>
      <c r="H466" s="3" t="s">
        <v>398</v>
      </c>
      <c r="I466" s="3" t="s">
        <v>399</v>
      </c>
      <c r="K466" s="10"/>
      <c r="N466" s="10"/>
    </row>
    <row r="467" customFormat="false" ht="18.7" hidden="false" customHeight="true" outlineLevel="0" collapsed="false">
      <c r="A467" s="1" t="n">
        <v>466</v>
      </c>
      <c r="B467" s="7" t="str">
        <f aca="false">HYPERLINK("https://mncourtfraud.com/file/TJ-17.zip","TJ-17.zip")</f>
        <v>TJ-17.zip</v>
      </c>
      <c r="C467" s="8" t="str">
        <f aca="false">HYPERLINK("https://mncourtfraud.com/file/27-CR-19-19606.pdf","27-CR-19-19606")</f>
        <v>27-CR-19-19606</v>
      </c>
      <c r="D467" s="3" t="s">
        <v>334</v>
      </c>
      <c r="E467" s="8" t="str">
        <f aca="false">HYPERLINK("https://mncourtfraud.com/file/MCRO_27-CR-19-19606_Findings and Order_2022-03-08_20240430092045.pdf","MCRO_27-CR-19-19606_Findings and Order_2022-03-08_20240430092045.pdf")</f>
        <v>MCRO_27-CR-19-19606_Findings and Order_2022-03-08_20240430092045.pdf</v>
      </c>
      <c r="F467" s="9" t="n">
        <v>44628</v>
      </c>
      <c r="G467" s="1" t="s">
        <v>397</v>
      </c>
      <c r="H467" s="3" t="s">
        <v>398</v>
      </c>
      <c r="I467" s="3" t="s">
        <v>399</v>
      </c>
      <c r="K467" s="10"/>
      <c r="N467" s="10"/>
    </row>
    <row r="468" customFormat="false" ht="18.7" hidden="false" customHeight="true" outlineLevel="0" collapsed="false">
      <c r="A468" s="1" t="n">
        <v>467</v>
      </c>
      <c r="B468" s="7" t="str">
        <f aca="false">HYPERLINK("https://mncourtfraud.com/file/TJ-17.zip","TJ-17.zip")</f>
        <v>TJ-17.zip</v>
      </c>
      <c r="C468" s="8" t="str">
        <f aca="false">HYPERLINK("https://mncourtfraud.com/file/27-CR-20-20037.pdf","27-CR-20-20037")</f>
        <v>27-CR-20-20037</v>
      </c>
      <c r="D468" s="3" t="s">
        <v>334</v>
      </c>
      <c r="E468" s="8" t="str">
        <f aca="false">HYPERLINK("https://mncourtfraud.com/file/MCRO_27-CR-20-20037_Findings and Order_2022-03-08_20240430090143.pdf","MCRO_27-CR-20-20037_Findings and Order_2022-03-08_20240430090143.pdf")</f>
        <v>MCRO_27-CR-20-20037_Findings and Order_2022-03-08_20240430090143.pdf</v>
      </c>
      <c r="F468" s="9" t="n">
        <v>44628</v>
      </c>
      <c r="G468" s="1" t="s">
        <v>397</v>
      </c>
      <c r="H468" s="3" t="s">
        <v>398</v>
      </c>
      <c r="I468" s="3" t="s">
        <v>399</v>
      </c>
      <c r="K468" s="10"/>
      <c r="N468" s="10"/>
    </row>
    <row r="469" customFormat="false" ht="18.7" hidden="false" customHeight="true" outlineLevel="0" collapsed="false">
      <c r="A469" s="1" t="n">
        <v>468</v>
      </c>
      <c r="B469" s="7" t="str">
        <f aca="false">HYPERLINK("https://mncourtfraud.com/file/TJ-17.zip","TJ-17.zip")</f>
        <v>TJ-17.zip</v>
      </c>
      <c r="C469" s="8" t="str">
        <f aca="false">HYPERLINK("https://mncourtfraud.com/file/27-CR-20-8926.pdf","27-CR-20-8926")</f>
        <v>27-CR-20-8926</v>
      </c>
      <c r="D469" s="3" t="s">
        <v>334</v>
      </c>
      <c r="E469" s="8" t="str">
        <f aca="false">HYPERLINK("https://mncourtfraud.com/file/MCRO_27-CR-20-8926_Findings and Order_2022-03-08_20240430085441.pdf","MCRO_27-CR-20-8926_Findings and Order_2022-03-08_20240430085441.pdf")</f>
        <v>MCRO_27-CR-20-8926_Findings and Order_2022-03-08_20240430085441.pdf</v>
      </c>
      <c r="F469" s="9" t="n">
        <v>44628</v>
      </c>
      <c r="G469" s="1" t="s">
        <v>397</v>
      </c>
      <c r="H469" s="3" t="s">
        <v>398</v>
      </c>
      <c r="I469" s="3" t="s">
        <v>399</v>
      </c>
      <c r="K469" s="10"/>
      <c r="N469" s="10"/>
    </row>
    <row r="470" customFormat="false" ht="18.7" hidden="false" customHeight="true" outlineLevel="0" collapsed="false">
      <c r="A470" s="1" t="n">
        <v>469</v>
      </c>
      <c r="B470" s="7" t="str">
        <f aca="false">HYPERLINK("https://mncourtfraud.com/file/TJ-17.zip","TJ-17.zip")</f>
        <v>TJ-17.zip</v>
      </c>
      <c r="C470" s="8" t="str">
        <f aca="false">HYPERLINK("https://mncourtfraud.com/file/27-CR-21-19552.pdf","27-CR-21-19552")</f>
        <v>27-CR-21-19552</v>
      </c>
      <c r="D470" s="3" t="s">
        <v>334</v>
      </c>
      <c r="E470" s="8" t="str">
        <f aca="false">HYPERLINK("https://mncourtfraud.com/file/MCRO_27-CR-21-19552_Findings and Order_2022-03-08_20240430082847.pdf","MCRO_27-CR-21-19552_Findings and Order_2022-03-08_20240430082847.pdf")</f>
        <v>MCRO_27-CR-21-19552_Findings and Order_2022-03-08_20240430082847.pdf</v>
      </c>
      <c r="F470" s="9" t="n">
        <v>44628</v>
      </c>
      <c r="G470" s="1" t="s">
        <v>397</v>
      </c>
      <c r="H470" s="3" t="s">
        <v>398</v>
      </c>
      <c r="I470" s="3" t="s">
        <v>399</v>
      </c>
      <c r="K470" s="10"/>
      <c r="N470" s="10"/>
    </row>
    <row r="471" customFormat="false" ht="18.7" hidden="false" customHeight="true" outlineLevel="0" collapsed="false">
      <c r="A471" s="1" t="n">
        <v>470</v>
      </c>
      <c r="B471" s="7" t="str">
        <f aca="false">HYPERLINK("https://mncourtfraud.com/file/TJ-17.zip","TJ-17.zip")</f>
        <v>TJ-17.zip</v>
      </c>
      <c r="C471" s="8" t="str">
        <f aca="false">HYPERLINK("https://mncourtfraud.com/file/27-CR-21-23233.pdf","27-CR-21-23233")</f>
        <v>27-CR-21-23233</v>
      </c>
      <c r="D471" s="3" t="s">
        <v>334</v>
      </c>
      <c r="E471" s="8" t="str">
        <f aca="false">HYPERLINK("https://mncourtfraud.com/file/MCRO_27-CR-21-23233_Findings and Order_2022-03-08_20240430084225.pdf","MCRO_27-CR-21-23233_Findings and Order_2022-03-08_20240430084225.pdf")</f>
        <v>MCRO_27-CR-21-23233_Findings and Order_2022-03-08_20240430084225.pdf</v>
      </c>
      <c r="F471" s="9" t="n">
        <v>44628</v>
      </c>
      <c r="G471" s="1" t="s">
        <v>397</v>
      </c>
      <c r="H471" s="3" t="s">
        <v>398</v>
      </c>
      <c r="I471" s="3" t="s">
        <v>399</v>
      </c>
      <c r="K471" s="10"/>
      <c r="N471" s="10"/>
    </row>
    <row r="472" customFormat="false" ht="18.7" hidden="false" customHeight="true" outlineLevel="0" collapsed="false">
      <c r="A472" s="1" t="n">
        <v>471</v>
      </c>
      <c r="B472" s="7" t="str">
        <f aca="false">HYPERLINK("https://mncourtfraud.com/file/TJ-17.zip","TJ-17.zip")</f>
        <v>TJ-17.zip</v>
      </c>
      <c r="C472" s="8" t="str">
        <f aca="false">HYPERLINK("https://mncourtfraud.com/file/27-CR-22-1165.pdf","27-CR-22-1165")</f>
        <v>27-CR-22-1165</v>
      </c>
      <c r="D472" s="3" t="s">
        <v>334</v>
      </c>
      <c r="E472" s="8" t="str">
        <f aca="false">HYPERLINK("https://mncourtfraud.com/file/MCRO_27-CR-22-1165_Findings and Order_2022-03-08_20240429030436.pdf","MCRO_27-CR-22-1165_Findings and Order_2022-03-08_20240429030436.pdf")</f>
        <v>MCRO_27-CR-22-1165_Findings and Order_2022-03-08_20240429030436.pdf</v>
      </c>
      <c r="F472" s="9" t="n">
        <v>44628</v>
      </c>
      <c r="G472" s="1" t="s">
        <v>397</v>
      </c>
      <c r="H472" s="3" t="s">
        <v>398</v>
      </c>
      <c r="I472" s="3" t="s">
        <v>399</v>
      </c>
      <c r="K472" s="10"/>
      <c r="N472" s="10"/>
    </row>
    <row r="473" customFormat="false" ht="18.7" hidden="false" customHeight="true" outlineLevel="0" collapsed="false">
      <c r="A473" s="1" t="n">
        <v>472</v>
      </c>
      <c r="F473" s="9"/>
      <c r="K473" s="10"/>
      <c r="N473" s="10"/>
    </row>
    <row r="474" customFormat="false" ht="18.7" hidden="false" customHeight="true" outlineLevel="0" collapsed="false">
      <c r="A474" s="1" t="n">
        <v>473</v>
      </c>
      <c r="B474" s="7" t="str">
        <f aca="false">HYPERLINK("https://mncourtfraud.com/file/TJ-18.zip","TJ-18.zip")</f>
        <v>TJ-18.zip</v>
      </c>
      <c r="C474" s="8" t="str">
        <f aca="false">HYPERLINK("https://mncourtfraud.com/file/27-CR-19-12466.pdf","27-CR-19-12466")</f>
        <v>27-CR-19-12466</v>
      </c>
      <c r="D474" s="3" t="s">
        <v>334</v>
      </c>
      <c r="E474" s="8" t="str">
        <f aca="false">HYPERLINK("https://mncourtfraud.com/file/MCRO_27-CR-19-12466_Notice of Appearance_2022-03-08_20240430091826.pdf","MCRO_27-CR-19-12466_Notice of Appearance_2022-03-08_20240430091826.pdf")</f>
        <v>MCRO_27-CR-19-12466_Notice of Appearance_2022-03-08_20240430091826.pdf</v>
      </c>
      <c r="F474" s="9" t="n">
        <v>44628</v>
      </c>
      <c r="G474" s="1" t="s">
        <v>400</v>
      </c>
      <c r="H474" s="3" t="s">
        <v>401</v>
      </c>
      <c r="I474" s="3" t="s">
        <v>402</v>
      </c>
      <c r="K474" s="10"/>
      <c r="N474" s="10"/>
    </row>
    <row r="475" customFormat="false" ht="18.7" hidden="false" customHeight="true" outlineLevel="0" collapsed="false">
      <c r="A475" s="1" t="n">
        <v>474</v>
      </c>
      <c r="B475" s="7" t="str">
        <f aca="false">HYPERLINK("https://mncourtfraud.com/file/TJ-18.zip","TJ-18.zip")</f>
        <v>TJ-18.zip</v>
      </c>
      <c r="C475" s="8" t="str">
        <f aca="false">HYPERLINK("https://mncourtfraud.com/file/27-CR-19-19606.pdf","27-CR-19-19606")</f>
        <v>27-CR-19-19606</v>
      </c>
      <c r="D475" s="3" t="s">
        <v>334</v>
      </c>
      <c r="E475" s="8" t="str">
        <f aca="false">HYPERLINK("https://mncourtfraud.com/file/MCRO_27-CR-19-19606_Notice of Appearance_2022-03-08_20240430092044.pdf","MCRO_27-CR-19-19606_Notice of Appearance_2022-03-08_20240430092044.pdf")</f>
        <v>MCRO_27-CR-19-19606_Notice of Appearance_2022-03-08_20240430092044.pdf</v>
      </c>
      <c r="F475" s="9" t="n">
        <v>44628</v>
      </c>
      <c r="G475" s="1" t="s">
        <v>400</v>
      </c>
      <c r="H475" s="3" t="s">
        <v>401</v>
      </c>
      <c r="I475" s="3" t="s">
        <v>402</v>
      </c>
    </row>
    <row r="476" customFormat="false" ht="18.7" hidden="false" customHeight="true" outlineLevel="0" collapsed="false">
      <c r="A476" s="1" t="n">
        <v>475</v>
      </c>
      <c r="B476" s="7" t="str">
        <f aca="false">HYPERLINK("https://mncourtfraud.com/file/TJ-18.zip","TJ-18.zip")</f>
        <v>TJ-18.zip</v>
      </c>
      <c r="C476" s="8" t="str">
        <f aca="false">HYPERLINK("https://mncourtfraud.com/file/27-CR-20-20037.pdf","27-CR-20-20037")</f>
        <v>27-CR-20-20037</v>
      </c>
      <c r="D476" s="3" t="s">
        <v>334</v>
      </c>
      <c r="E476" s="8" t="str">
        <f aca="false">HYPERLINK("https://mncourtfraud.com/file/MCRO_27-CR-20-20037_Notice of Appearance_2022-03-08_20240430090142.pdf","MCRO_27-CR-20-20037_Notice of Appearance_2022-03-08_20240430090142.pdf")</f>
        <v>MCRO_27-CR-20-20037_Notice of Appearance_2022-03-08_20240430090142.pdf</v>
      </c>
      <c r="F476" s="9" t="n">
        <v>44628</v>
      </c>
      <c r="G476" s="1" t="s">
        <v>400</v>
      </c>
      <c r="H476" s="3" t="s">
        <v>401</v>
      </c>
      <c r="I476" s="3" t="s">
        <v>402</v>
      </c>
    </row>
    <row r="477" customFormat="false" ht="18.7" hidden="false" customHeight="true" outlineLevel="0" collapsed="false">
      <c r="A477" s="1" t="n">
        <v>476</v>
      </c>
      <c r="B477" s="7" t="str">
        <f aca="false">HYPERLINK("https://mncourtfraud.com/file/TJ-18.zip","TJ-18.zip")</f>
        <v>TJ-18.zip</v>
      </c>
      <c r="C477" s="8" t="str">
        <f aca="false">HYPERLINK("https://mncourtfraud.com/file/27-CR-20-8926.pdf","27-CR-20-8926")</f>
        <v>27-CR-20-8926</v>
      </c>
      <c r="D477" s="3" t="s">
        <v>334</v>
      </c>
      <c r="E477" s="8" t="str">
        <f aca="false">HYPERLINK("https://mncourtfraud.com/file/MCRO_27-CR-20-8926_Notice of Appearance_2022-03-08_20240430085440.pdf","MCRO_27-CR-20-8926_Notice of Appearance_2022-03-08_20240430085440.pdf")</f>
        <v>MCRO_27-CR-20-8926_Notice of Appearance_2022-03-08_20240430085440.pdf</v>
      </c>
      <c r="F477" s="9" t="n">
        <v>44628</v>
      </c>
      <c r="G477" s="1" t="s">
        <v>400</v>
      </c>
      <c r="H477" s="3" t="s">
        <v>401</v>
      </c>
      <c r="I477" s="3" t="s">
        <v>402</v>
      </c>
    </row>
    <row r="478" customFormat="false" ht="18.7" hidden="false" customHeight="true" outlineLevel="0" collapsed="false">
      <c r="A478" s="1" t="n">
        <v>477</v>
      </c>
      <c r="B478" s="7" t="str">
        <f aca="false">HYPERLINK("https://mncourtfraud.com/file/TJ-18.zip","TJ-18.zip")</f>
        <v>TJ-18.zip</v>
      </c>
      <c r="C478" s="8" t="str">
        <f aca="false">HYPERLINK("https://mncourtfraud.com/file/27-CR-21-19552.pdf","27-CR-21-19552")</f>
        <v>27-CR-21-19552</v>
      </c>
      <c r="D478" s="3" t="s">
        <v>334</v>
      </c>
      <c r="E478" s="8" t="str">
        <f aca="false">HYPERLINK("https://mncourtfraud.com/file/MCRO_27-CR-21-19552_Notice of Appearance_2022-03-08_20240430082846.pdf","MCRO_27-CR-21-19552_Notice of Appearance_2022-03-08_20240430082846.pdf")</f>
        <v>MCRO_27-CR-21-19552_Notice of Appearance_2022-03-08_20240430082846.pdf</v>
      </c>
      <c r="F478" s="9" t="n">
        <v>44628</v>
      </c>
      <c r="G478" s="1" t="s">
        <v>400</v>
      </c>
      <c r="H478" s="3" t="s">
        <v>401</v>
      </c>
      <c r="I478" s="3" t="s">
        <v>402</v>
      </c>
    </row>
    <row r="479" customFormat="false" ht="18.7" hidden="false" customHeight="true" outlineLevel="0" collapsed="false">
      <c r="A479" s="1" t="n">
        <v>478</v>
      </c>
      <c r="B479" s="7" t="str">
        <f aca="false">HYPERLINK("https://mncourtfraud.com/file/TJ-18.zip","TJ-18.zip")</f>
        <v>TJ-18.zip</v>
      </c>
      <c r="C479" s="8" t="str">
        <f aca="false">HYPERLINK("https://mncourtfraud.com/file/27-CR-21-23233.pdf","27-CR-21-23233")</f>
        <v>27-CR-21-23233</v>
      </c>
      <c r="D479" s="3" t="s">
        <v>334</v>
      </c>
      <c r="E479" s="8" t="str">
        <f aca="false">HYPERLINK("https://mncourtfraud.com/file/MCRO_27-CR-21-23233_Notice of Appearance_2022-03-08_20240430084224.pdf","MCRO_27-CR-21-23233_Notice of Appearance_2022-03-08_20240430084224.pdf")</f>
        <v>MCRO_27-CR-21-23233_Notice of Appearance_2022-03-08_20240430084224.pdf</v>
      </c>
      <c r="F479" s="9" t="n">
        <v>44628</v>
      </c>
      <c r="G479" s="1" t="s">
        <v>400</v>
      </c>
      <c r="H479" s="3" t="s">
        <v>401</v>
      </c>
      <c r="I479" s="3" t="s">
        <v>402</v>
      </c>
    </row>
    <row r="480" customFormat="false" ht="18.7" hidden="false" customHeight="true" outlineLevel="0" collapsed="false">
      <c r="A480" s="1" t="n">
        <v>479</v>
      </c>
      <c r="B480" s="7" t="str">
        <f aca="false">HYPERLINK("https://mncourtfraud.com/file/TJ-18.zip","TJ-18.zip")</f>
        <v>TJ-18.zip</v>
      </c>
      <c r="C480" s="8" t="str">
        <f aca="false">HYPERLINK("https://mncourtfraud.com/file/27-CR-22-1165.pdf","27-CR-22-1165")</f>
        <v>27-CR-22-1165</v>
      </c>
      <c r="D480" s="3" t="s">
        <v>334</v>
      </c>
      <c r="E480" s="8" t="str">
        <f aca="false">HYPERLINK("https://mncourtfraud.com/file/MCRO_27-CR-22-1165_Notice of Appearance_2022-03-08_20240429030435.pdf","MCRO_27-CR-22-1165_Notice of Appearance_2022-03-08_20240429030435.pdf")</f>
        <v>MCRO_27-CR-22-1165_Notice of Appearance_2022-03-08_20240429030435.pdf</v>
      </c>
      <c r="F480" s="9" t="n">
        <v>44628</v>
      </c>
      <c r="G480" s="1" t="s">
        <v>400</v>
      </c>
      <c r="H480" s="3" t="s">
        <v>401</v>
      </c>
      <c r="I480" s="3" t="s">
        <v>402</v>
      </c>
    </row>
    <row r="481" customFormat="false" ht="18.7" hidden="false" customHeight="true" outlineLevel="0" collapsed="false">
      <c r="A481" s="1" t="n">
        <v>480</v>
      </c>
      <c r="F481" s="9"/>
    </row>
    <row r="482" customFormat="false" ht="18.7" hidden="false" customHeight="true" outlineLevel="0" collapsed="false">
      <c r="A482" s="1" t="n">
        <v>481</v>
      </c>
      <c r="B482" s="7" t="str">
        <f aca="false">HYPERLINK("https://mncourtfraud.com/file/TJ-19.zip","TJ-19.zip")</f>
        <v>TJ-19.zip</v>
      </c>
      <c r="C482" s="8" t="str">
        <f aca="false">HYPERLINK("https://mncourtfraud.com/file/27-CR-19-12466.pdf","27-CR-19-12466")</f>
        <v>27-CR-19-12466</v>
      </c>
      <c r="D482" s="3" t="s">
        <v>334</v>
      </c>
      <c r="E482" s="8" t="str">
        <f aca="false">HYPERLINK("https://mncourtfraud.com/file/MCRO_27-CR-19-12466_Order for Conditional Release_2022-03-11_20240430091825.pdf","MCRO_27-CR-19-12466_Order for Conditional Release_2022-03-11_20240430091825.pdf")</f>
        <v>MCRO_27-CR-19-12466_Order for Conditional Release_2022-03-11_20240430091825.pdf</v>
      </c>
      <c r="F482" s="9" t="n">
        <v>44631</v>
      </c>
      <c r="G482" s="1" t="s">
        <v>403</v>
      </c>
      <c r="H482" s="3" t="s">
        <v>404</v>
      </c>
      <c r="I482" s="3" t="s">
        <v>405</v>
      </c>
    </row>
    <row r="483" customFormat="false" ht="18.7" hidden="false" customHeight="true" outlineLevel="0" collapsed="false">
      <c r="A483" s="1" t="n">
        <v>482</v>
      </c>
      <c r="B483" s="7" t="str">
        <f aca="false">HYPERLINK("https://mncourtfraud.com/file/TJ-19.zip","TJ-19.zip")</f>
        <v>TJ-19.zip</v>
      </c>
      <c r="C483" s="8" t="str">
        <f aca="false">HYPERLINK("https://mncourtfraud.com/file/27-CR-19-19606.pdf","27-CR-19-19606")</f>
        <v>27-CR-19-19606</v>
      </c>
      <c r="D483" s="3" t="s">
        <v>334</v>
      </c>
      <c r="E483" s="8" t="str">
        <f aca="false">HYPERLINK("https://mncourtfraud.com/file/MCRO_27-CR-19-19606_Order for Conditional Release_2022-03-11_20240430092043.pdf","MCRO_27-CR-19-19606_Order for Conditional Release_2022-03-11_20240430092043.pdf")</f>
        <v>MCRO_27-CR-19-19606_Order for Conditional Release_2022-03-11_20240430092043.pdf</v>
      </c>
      <c r="F483" s="9" t="n">
        <v>44631</v>
      </c>
      <c r="G483" s="1" t="s">
        <v>403</v>
      </c>
      <c r="H483" s="3" t="s">
        <v>404</v>
      </c>
      <c r="I483" s="3" t="s">
        <v>406</v>
      </c>
    </row>
    <row r="484" customFormat="false" ht="18.7" hidden="false" customHeight="true" outlineLevel="0" collapsed="false">
      <c r="A484" s="1" t="n">
        <v>483</v>
      </c>
      <c r="B484" s="7" t="str">
        <f aca="false">HYPERLINK("https://mncourtfraud.com/file/TJ-19.zip","TJ-19.zip")</f>
        <v>TJ-19.zip</v>
      </c>
      <c r="C484" s="8" t="str">
        <f aca="false">HYPERLINK("https://mncourtfraud.com/file/27-CR-20-20037.pdf","27-CR-20-20037")</f>
        <v>27-CR-20-20037</v>
      </c>
      <c r="D484" s="3" t="s">
        <v>334</v>
      </c>
      <c r="E484" s="8" t="str">
        <f aca="false">HYPERLINK("https://mncourtfraud.com/file/MCRO_27-CR-20-20037_Order for Conditional Release_2022-03-11_20240430090141.pdf","MCRO_27-CR-20-20037_Order for Conditional Release_2022-03-11_20240430090141.pdf")</f>
        <v>MCRO_27-CR-20-20037_Order for Conditional Release_2022-03-11_20240430090141.pdf</v>
      </c>
      <c r="F484" s="9" t="n">
        <v>44631</v>
      </c>
      <c r="G484" s="1" t="s">
        <v>403</v>
      </c>
      <c r="H484" s="3" t="s">
        <v>404</v>
      </c>
      <c r="I484" s="3" t="s">
        <v>407</v>
      </c>
    </row>
    <row r="485" customFormat="false" ht="18.7" hidden="false" customHeight="true" outlineLevel="0" collapsed="false">
      <c r="A485" s="1" t="n">
        <v>484</v>
      </c>
      <c r="B485" s="7" t="str">
        <f aca="false">HYPERLINK("https://mncourtfraud.com/file/TJ-19.zip","TJ-19.zip")</f>
        <v>TJ-19.zip</v>
      </c>
      <c r="C485" s="8" t="str">
        <f aca="false">HYPERLINK("https://mncourtfraud.com/file/27-CR-20-8926.pdf","27-CR-20-8926")</f>
        <v>27-CR-20-8926</v>
      </c>
      <c r="D485" s="3" t="s">
        <v>334</v>
      </c>
      <c r="E485" s="8" t="str">
        <f aca="false">HYPERLINK("https://mncourtfraud.com/file/MCRO_27-CR-20-8926_Order for Conditional Release_2022-03-11_20240430085438.pdf","MCRO_27-CR-20-8926_Order for Conditional Release_2022-03-11_20240430085438.pdf")</f>
        <v>MCRO_27-CR-20-8926_Order for Conditional Release_2022-03-11_20240430085438.pdf</v>
      </c>
      <c r="F485" s="9" t="n">
        <v>44631</v>
      </c>
      <c r="G485" s="1" t="s">
        <v>403</v>
      </c>
      <c r="H485" s="3" t="s">
        <v>404</v>
      </c>
      <c r="I485" s="3" t="s">
        <v>408</v>
      </c>
    </row>
    <row r="486" customFormat="false" ht="18.7" hidden="false" customHeight="true" outlineLevel="0" collapsed="false">
      <c r="A486" s="1" t="n">
        <v>485</v>
      </c>
      <c r="B486" s="7" t="str">
        <f aca="false">HYPERLINK("https://mncourtfraud.com/file/TJ-19.zip","TJ-19.zip")</f>
        <v>TJ-19.zip</v>
      </c>
      <c r="C486" s="8" t="str">
        <f aca="false">HYPERLINK("https://mncourtfraud.com/file/27-CR-21-19552.pdf","27-CR-21-19552")</f>
        <v>27-CR-21-19552</v>
      </c>
      <c r="D486" s="3" t="s">
        <v>334</v>
      </c>
      <c r="E486" s="8" t="str">
        <f aca="false">HYPERLINK("https://mncourtfraud.com/file/MCRO_27-CR-21-19552_Order for Conditional Release_2022-03-11_20240430082844.pdf","MCRO_27-CR-21-19552_Order for Conditional Release_2022-03-11_20240430082844.pdf")</f>
        <v>MCRO_27-CR-21-19552_Order for Conditional Release_2022-03-11_20240430082844.pdf</v>
      </c>
      <c r="F486" s="9" t="n">
        <v>44631</v>
      </c>
      <c r="G486" s="1" t="s">
        <v>403</v>
      </c>
      <c r="H486" s="3" t="s">
        <v>404</v>
      </c>
      <c r="I486" s="3" t="s">
        <v>409</v>
      </c>
    </row>
    <row r="487" customFormat="false" ht="18.7" hidden="false" customHeight="true" outlineLevel="0" collapsed="false">
      <c r="A487" s="1" t="n">
        <v>486</v>
      </c>
      <c r="B487" s="7" t="str">
        <f aca="false">HYPERLINK("https://mncourtfraud.com/file/TJ-19.zip","TJ-19.zip")</f>
        <v>TJ-19.zip</v>
      </c>
      <c r="C487" s="8" t="str">
        <f aca="false">HYPERLINK("https://mncourtfraud.com/file/27-CR-21-23233.pdf","27-CR-21-23233")</f>
        <v>27-CR-21-23233</v>
      </c>
      <c r="D487" s="3" t="s">
        <v>334</v>
      </c>
      <c r="E487" s="8" t="str">
        <f aca="false">HYPERLINK("https://mncourtfraud.com/file/MCRO_27-CR-21-23233_Order for Conditional Release_2022-03-11_20240430084223.pdf","MCRO_27-CR-21-23233_Order for Conditional Release_2022-03-11_20240430084223.pdf")</f>
        <v>MCRO_27-CR-21-23233_Order for Conditional Release_2022-03-11_20240430084223.pdf</v>
      </c>
      <c r="F487" s="9" t="n">
        <v>44631</v>
      </c>
      <c r="G487" s="1" t="s">
        <v>403</v>
      </c>
      <c r="H487" s="3" t="s">
        <v>404</v>
      </c>
      <c r="I487" s="3" t="s">
        <v>410</v>
      </c>
    </row>
    <row r="488" customFormat="false" ht="18.7" hidden="false" customHeight="true" outlineLevel="0" collapsed="false">
      <c r="A488" s="1" t="n">
        <v>487</v>
      </c>
      <c r="B488" s="7" t="str">
        <f aca="false">HYPERLINK("https://mncourtfraud.com/file/TJ-19.zip","TJ-19.zip")</f>
        <v>TJ-19.zip</v>
      </c>
      <c r="C488" s="8" t="str">
        <f aca="false">HYPERLINK("https://mncourtfraud.com/file/27-CR-22-1165.pdf","27-CR-22-1165")</f>
        <v>27-CR-22-1165</v>
      </c>
      <c r="D488" s="3" t="s">
        <v>334</v>
      </c>
      <c r="E488" s="8" t="str">
        <f aca="false">HYPERLINK("https://mncourtfraud.com/file/MCRO_27-CR-22-1165_Order for Conditional Release_2022-03-11_20240429030433.pdf","MCRO_27-CR-22-1165_Order for Conditional Release_2022-03-11_20240429030433.pdf")</f>
        <v>MCRO_27-CR-22-1165_Order for Conditional Release_2022-03-11_20240429030433.pdf</v>
      </c>
      <c r="F488" s="9" t="n">
        <v>44631</v>
      </c>
      <c r="G488" s="1" t="s">
        <v>403</v>
      </c>
      <c r="H488" s="3" t="s">
        <v>404</v>
      </c>
      <c r="I488" s="3" t="s">
        <v>411</v>
      </c>
    </row>
    <row r="489" customFormat="false" ht="18.7" hidden="false" customHeight="true" outlineLevel="0" collapsed="false">
      <c r="A489" s="1" t="n">
        <v>488</v>
      </c>
      <c r="F489" s="9"/>
    </row>
    <row r="490" customFormat="false" ht="18.7" hidden="false" customHeight="true" outlineLevel="0" collapsed="false">
      <c r="A490" s="1" t="n">
        <v>489</v>
      </c>
      <c r="B490" s="7" t="str">
        <f aca="false">HYPERLINK("https://mncourtfraud.com/file/TJ-20.zip","TJ-20.zip")</f>
        <v>TJ-20.zip</v>
      </c>
      <c r="C490" s="8" t="str">
        <f aca="false">HYPERLINK("https://mncourtfraud.com/file/27-CR-22-4898.pdf","27-CR-22-4898")</f>
        <v>27-CR-22-4898</v>
      </c>
      <c r="D490" s="3" t="s">
        <v>334</v>
      </c>
      <c r="E490" s="8" t="str">
        <f aca="false">HYPERLINK("https://mncourtfraud.com/file/MCRO_27-CR-22-4898_Probation Violation Order for Detention_2022-04-22_20240429040226.pdf","MCRO_27-CR-22-4898_Probation Violation Order for Detention_2022-04-22_20240429040226.pdf")</f>
        <v>MCRO_27-CR-22-4898_Probation Violation Order for Detention_2022-04-22_20240429040226.pdf</v>
      </c>
      <c r="F490" s="9" t="n">
        <v>44673</v>
      </c>
      <c r="G490" s="1" t="s">
        <v>412</v>
      </c>
      <c r="H490" s="3" t="s">
        <v>413</v>
      </c>
      <c r="I490" s="3" t="s">
        <v>414</v>
      </c>
    </row>
    <row r="491" customFormat="false" ht="18.7" hidden="false" customHeight="true" outlineLevel="0" collapsed="false">
      <c r="A491" s="1" t="n">
        <v>490</v>
      </c>
      <c r="B491" s="7" t="str">
        <f aca="false">HYPERLINK("https://mncourtfraud.com/file/TJ-20.zip","TJ-20.zip")</f>
        <v>TJ-20.zip</v>
      </c>
      <c r="C491" s="8" t="str">
        <f aca="false">HYPERLINK("https://mncourtfraud.com/file/27-CR-22-4898.pdf","27-CR-22-4898")</f>
        <v>27-CR-22-4898</v>
      </c>
      <c r="D491" s="3" t="s">
        <v>334</v>
      </c>
      <c r="E491" s="8" t="str">
        <f aca="false">HYPERLINK("https://mncourtfraud.com/file/MCRO_27-CR-22-4898_Proposed Order or Document_2022-04-22_20240429040227.pdf","MCRO_27-CR-22-4898_Proposed Order or Document_2022-04-22_20240429040227.pdf")</f>
        <v>MCRO_27-CR-22-4898_Proposed Order or Document_2022-04-22_20240429040227.pdf</v>
      </c>
      <c r="F491" s="9" t="n">
        <v>44673</v>
      </c>
      <c r="G491" s="1" t="s">
        <v>412</v>
      </c>
      <c r="H491" s="3" t="s">
        <v>413</v>
      </c>
      <c r="I491" s="3" t="s">
        <v>415</v>
      </c>
    </row>
    <row r="492" customFormat="false" ht="18.7" hidden="false" customHeight="true" outlineLevel="0" collapsed="false">
      <c r="A492" s="1" t="n">
        <v>491</v>
      </c>
      <c r="F492" s="9"/>
    </row>
    <row r="493" customFormat="false" ht="18.7" hidden="false" customHeight="true" outlineLevel="0" collapsed="false">
      <c r="A493" s="1" t="n">
        <v>492</v>
      </c>
      <c r="B493" s="7" t="str">
        <f aca="false">HYPERLINK("https://mncourtfraud.com/file/TJ-21.zip","TJ-21.zip")</f>
        <v>TJ-21.zip</v>
      </c>
      <c r="C493" s="8" t="str">
        <f aca="false">HYPERLINK("https://mncourtfraud.com/file/27-CR-19-12466.pdf","27-CR-19-12466")</f>
        <v>27-CR-19-12466</v>
      </c>
      <c r="D493" s="3" t="s">
        <v>334</v>
      </c>
      <c r="E493" s="8" t="str">
        <f aca="false">HYPERLINK("https://mncourtfraud.com/file/MCRO_27-CR-19-12466_Order-Evaluation for Competency to Proceed (Rule 20.01)_2022-06-14_20240430091823.pdf","MCRO_27-CR-19-12466_Order-Evaluation for Competency to Proceed (Rule 20.01)_2022-06-14_20240430091823.pdf")</f>
        <v>MCRO_27-CR-19-12466_Order-Evaluation for Competency to Proceed (Rule 20.01)_2022-06-14_20240430091823.pdf</v>
      </c>
      <c r="F493" s="9" t="n">
        <v>44726</v>
      </c>
      <c r="G493" s="1" t="s">
        <v>416</v>
      </c>
      <c r="H493" s="3" t="s">
        <v>417</v>
      </c>
      <c r="I493" s="3" t="s">
        <v>418</v>
      </c>
    </row>
    <row r="494" customFormat="false" ht="18.7" hidden="false" customHeight="true" outlineLevel="0" collapsed="false">
      <c r="A494" s="1" t="n">
        <v>493</v>
      </c>
      <c r="B494" s="7" t="str">
        <f aca="false">HYPERLINK("https://mncourtfraud.com/file/TJ-21.zip","TJ-21.zip")</f>
        <v>TJ-21.zip</v>
      </c>
      <c r="C494" s="8" t="str">
        <f aca="false">HYPERLINK("https://mncourtfraud.com/file/27-CR-19-19606.pdf","27-CR-19-19606")</f>
        <v>27-CR-19-19606</v>
      </c>
      <c r="D494" s="3" t="s">
        <v>334</v>
      </c>
      <c r="E494" s="8" t="str">
        <f aca="false">HYPERLINK("https://mncourtfraud.com/file/MCRO_27-CR-19-19606_Order-Evaluation for Competency to Proceed (Rule 20.01)_2022-06-14_20240430092041.pdf","MCRO_27-CR-19-19606_Order-Evaluation for Competency to Proceed (Rule 20.01)_2022-06-14_20240430092041.pdf")</f>
        <v>MCRO_27-CR-19-19606_Order-Evaluation for Competency to Proceed (Rule 20.01)_2022-06-14_20240430092041.pdf</v>
      </c>
      <c r="F494" s="9" t="n">
        <v>44726</v>
      </c>
      <c r="G494" s="1" t="s">
        <v>416</v>
      </c>
      <c r="H494" s="3" t="s">
        <v>417</v>
      </c>
      <c r="I494" s="3" t="s">
        <v>418</v>
      </c>
    </row>
    <row r="495" customFormat="false" ht="18.7" hidden="false" customHeight="true" outlineLevel="0" collapsed="false">
      <c r="A495" s="1" t="n">
        <v>494</v>
      </c>
      <c r="B495" s="7" t="str">
        <f aca="false">HYPERLINK("https://mncourtfraud.com/file/TJ-21.zip","TJ-21.zip")</f>
        <v>TJ-21.zip</v>
      </c>
      <c r="C495" s="8" t="str">
        <f aca="false">HYPERLINK("https://mncourtfraud.com/file/27-CR-20-20037.pdf","27-CR-20-20037")</f>
        <v>27-CR-20-20037</v>
      </c>
      <c r="D495" s="3" t="s">
        <v>334</v>
      </c>
      <c r="E495" s="8" t="str">
        <f aca="false">HYPERLINK("https://mncourtfraud.com/file/MCRO_27-CR-20-20037_Order-Evaluation for Competency to Proceed (Rule 20.01)_2022-06-14_20240430090139.pdf","MCRO_27-CR-20-20037_Order-Evaluation for Competency to Proceed (Rule 20.01)_2022-06-14_20240430090139.pdf")</f>
        <v>MCRO_27-CR-20-20037_Order-Evaluation for Competency to Proceed (Rule 20.01)_2022-06-14_20240430090139.pdf</v>
      </c>
      <c r="F495" s="9" t="n">
        <v>44726</v>
      </c>
      <c r="G495" s="1" t="s">
        <v>416</v>
      </c>
      <c r="H495" s="3" t="s">
        <v>417</v>
      </c>
      <c r="I495" s="3" t="s">
        <v>418</v>
      </c>
    </row>
    <row r="496" customFormat="false" ht="18.7" hidden="false" customHeight="true" outlineLevel="0" collapsed="false">
      <c r="A496" s="1" t="n">
        <v>495</v>
      </c>
      <c r="B496" s="7" t="str">
        <f aca="false">HYPERLINK("https://mncourtfraud.com/file/TJ-21.zip","TJ-21.zip")</f>
        <v>TJ-21.zip</v>
      </c>
      <c r="C496" s="8" t="str">
        <f aca="false">HYPERLINK("https://mncourtfraud.com/file/27-CR-20-8926.pdf","27-CR-20-8926")</f>
        <v>27-CR-20-8926</v>
      </c>
      <c r="D496" s="3" t="s">
        <v>334</v>
      </c>
      <c r="E496" s="8" t="str">
        <f aca="false">HYPERLINK("https://mncourtfraud.com/file/MCRO_27-CR-20-8926_Order-Evaluation for Competency to Proceed (Rule 20.01)_2022-06-14_20240430085436.pdf","MCRO_27-CR-20-8926_Order-Evaluation for Competency to Proceed (Rule 20.01)_2022-06-14_20240430085436.pdf")</f>
        <v>MCRO_27-CR-20-8926_Order-Evaluation for Competency to Proceed (Rule 20.01)_2022-06-14_20240430085436.pdf</v>
      </c>
      <c r="F496" s="9" t="n">
        <v>44726</v>
      </c>
      <c r="G496" s="1" t="s">
        <v>416</v>
      </c>
      <c r="H496" s="3" t="s">
        <v>417</v>
      </c>
      <c r="I496" s="3" t="s">
        <v>418</v>
      </c>
    </row>
    <row r="497" customFormat="false" ht="18.7" hidden="false" customHeight="true" outlineLevel="0" collapsed="false">
      <c r="A497" s="1" t="n">
        <v>496</v>
      </c>
      <c r="B497" s="7" t="str">
        <f aca="false">HYPERLINK("https://mncourtfraud.com/file/TJ-21.zip","TJ-21.zip")</f>
        <v>TJ-21.zip</v>
      </c>
      <c r="C497" s="8" t="str">
        <f aca="false">HYPERLINK("https://mncourtfraud.com/file/27-CR-21-19552.pdf","27-CR-21-19552")</f>
        <v>27-CR-21-19552</v>
      </c>
      <c r="D497" s="3" t="s">
        <v>334</v>
      </c>
      <c r="E497" s="8" t="str">
        <f aca="false">HYPERLINK("https://mncourtfraud.com/file/MCRO_27-CR-21-19552_Order-Evaluation for Competency to Proceed (Rule 20.01)_2022-06-14_20240430082842.pdf","MCRO_27-CR-21-19552_Order-Evaluation for Competency to Proceed (Rule 20.01)_2022-06-14_20240430082842.pdf")</f>
        <v>MCRO_27-CR-21-19552_Order-Evaluation for Competency to Proceed (Rule 20.01)_2022-06-14_20240430082842.pdf</v>
      </c>
      <c r="F497" s="9" t="n">
        <v>44726</v>
      </c>
      <c r="G497" s="1" t="s">
        <v>416</v>
      </c>
      <c r="H497" s="3" t="s">
        <v>417</v>
      </c>
      <c r="I497" s="3" t="s">
        <v>418</v>
      </c>
    </row>
    <row r="498" customFormat="false" ht="18.7" hidden="false" customHeight="true" outlineLevel="0" collapsed="false">
      <c r="A498" s="1" t="n">
        <v>497</v>
      </c>
      <c r="B498" s="7" t="str">
        <f aca="false">HYPERLINK("https://mncourtfraud.com/file/TJ-21.zip","TJ-21.zip")</f>
        <v>TJ-21.zip</v>
      </c>
      <c r="C498" s="8" t="str">
        <f aca="false">HYPERLINK("https://mncourtfraud.com/file/27-CR-21-23233.pdf","27-CR-21-23233")</f>
        <v>27-CR-21-23233</v>
      </c>
      <c r="D498" s="3" t="s">
        <v>334</v>
      </c>
      <c r="E498" s="8" t="str">
        <f aca="false">HYPERLINK("https://mncourtfraud.com/file/MCRO_27-CR-21-23233_Order-Evaluation for Competency to Proceed (Rule 20.01)_2022-06-14_20240430084221.pdf","MCRO_27-CR-21-23233_Order-Evaluation for Competency to Proceed (Rule 20.01)_2022-06-14_20240430084221.pdf")</f>
        <v>MCRO_27-CR-21-23233_Order-Evaluation for Competency to Proceed (Rule 20.01)_2022-06-14_20240430084221.pdf</v>
      </c>
      <c r="F498" s="9" t="n">
        <v>44726</v>
      </c>
      <c r="G498" s="1" t="s">
        <v>416</v>
      </c>
      <c r="H498" s="3" t="s">
        <v>417</v>
      </c>
      <c r="I498" s="3" t="s">
        <v>418</v>
      </c>
    </row>
    <row r="499" customFormat="false" ht="18.7" hidden="false" customHeight="true" outlineLevel="0" collapsed="false">
      <c r="A499" s="1" t="n">
        <v>498</v>
      </c>
      <c r="B499" s="7" t="str">
        <f aca="false">HYPERLINK("https://mncourtfraud.com/file/TJ-21.zip","TJ-21.zip")</f>
        <v>TJ-21.zip</v>
      </c>
      <c r="C499" s="8" t="str">
        <f aca="false">HYPERLINK("https://mncourtfraud.com/file/27-CR-22-1165.pdf","27-CR-22-1165")</f>
        <v>27-CR-22-1165</v>
      </c>
      <c r="D499" s="3" t="s">
        <v>334</v>
      </c>
      <c r="E499" s="8" t="str">
        <f aca="false">HYPERLINK("https://mncourtfraud.com/file/MCRO_27-CR-22-1165_Order-Evaluation for Competency to Proceed (Rule 20.01)_2022-06-14_20240429030433.pdf","MCRO_27-CR-22-1165_Order-Evaluation for Competency to Proceed (Rule 20.01)_2022-06-14_20240429030433.pdf")</f>
        <v>MCRO_27-CR-22-1165_Order-Evaluation for Competency to Proceed (Rule 20.01)_2022-06-14_20240429030433.pdf</v>
      </c>
      <c r="F499" s="9" t="n">
        <v>44726</v>
      </c>
      <c r="G499" s="1" t="s">
        <v>416</v>
      </c>
      <c r="H499" s="3" t="s">
        <v>417</v>
      </c>
      <c r="I499" s="3" t="s">
        <v>418</v>
      </c>
    </row>
    <row r="500" customFormat="false" ht="18.7" hidden="false" customHeight="true" outlineLevel="0" collapsed="false">
      <c r="A500" s="1" t="n">
        <v>499</v>
      </c>
      <c r="B500" s="7" t="str">
        <f aca="false">HYPERLINK("https://mncourtfraud.com/file/TJ-21.zip","TJ-21.zip")</f>
        <v>TJ-21.zip</v>
      </c>
      <c r="C500" s="8" t="str">
        <f aca="false">HYPERLINK("https://mncourtfraud.com/file/27-CR-22-4898.pdf","27-CR-22-4898")</f>
        <v>27-CR-22-4898</v>
      </c>
      <c r="D500" s="3" t="s">
        <v>334</v>
      </c>
      <c r="E500" s="8" t="str">
        <f aca="false">HYPERLINK("https://mncourtfraud.com/file/MCRO_27-CR-22-4898_Order-Evaluation for Competency to Proceed (Rule 20.01)_2022-06-14_20240429040224.pdf","MCRO_27-CR-22-4898_Order-Evaluation for Competency to Proceed (Rule 20.01)_2022-06-14_20240429040224.pdf")</f>
        <v>MCRO_27-CR-22-4898_Order-Evaluation for Competency to Proceed (Rule 20.01)_2022-06-14_20240429040224.pdf</v>
      </c>
      <c r="F500" s="9" t="n">
        <v>44726</v>
      </c>
      <c r="G500" s="1" t="s">
        <v>416</v>
      </c>
      <c r="H500" s="3" t="s">
        <v>417</v>
      </c>
      <c r="I500" s="3" t="s">
        <v>418</v>
      </c>
    </row>
    <row r="501" customFormat="false" ht="18.7" hidden="false" customHeight="true" outlineLevel="0" collapsed="false">
      <c r="A501" s="1" t="n">
        <v>500</v>
      </c>
      <c r="F501" s="9"/>
    </row>
    <row r="502" customFormat="false" ht="18.7" hidden="false" customHeight="true" outlineLevel="0" collapsed="false">
      <c r="A502" s="1" t="n">
        <v>501</v>
      </c>
      <c r="B502" s="7" t="str">
        <f aca="false">HYPERLINK("https://mncourtfraud.com/file/TJ-22.zip","TJ-22.zip")</f>
        <v>TJ-22.zip</v>
      </c>
      <c r="C502" s="8" t="str">
        <f aca="false">HYPERLINK("https://mncourtfraud.com/file/27-CR-19-12466.pdf","27-CR-19-12466")</f>
        <v>27-CR-19-12466</v>
      </c>
      <c r="D502" s="3" t="s">
        <v>334</v>
      </c>
      <c r="E502" s="8" t="str">
        <f aca="false">HYPERLINK("https://mncourtfraud.com/file/MCRO_27-CR-19-12466_Correspondence for Judicial Approval_2022-11-07_20240430091822.pdf","MCRO_27-CR-19-12466_Correspondence for Judicial Approval_2022-11-07_20240430091822.pdf")</f>
        <v>MCRO_27-CR-19-12466_Correspondence for Judicial Approval_2022-11-07_20240430091822.pdf</v>
      </c>
      <c r="F502" s="9" t="n">
        <v>44872</v>
      </c>
      <c r="G502" s="1" t="s">
        <v>419</v>
      </c>
      <c r="H502" s="3" t="s">
        <v>420</v>
      </c>
      <c r="I502" s="3" t="s">
        <v>421</v>
      </c>
    </row>
    <row r="503" customFormat="false" ht="18.7" hidden="false" customHeight="true" outlineLevel="0" collapsed="false">
      <c r="A503" s="1" t="n">
        <v>502</v>
      </c>
      <c r="B503" s="7" t="str">
        <f aca="false">HYPERLINK("https://mncourtfraud.com/file/TJ-22.zip","TJ-22.zip")</f>
        <v>TJ-22.zip</v>
      </c>
      <c r="C503" s="8" t="str">
        <f aca="false">HYPERLINK("https://mncourtfraud.com/file/27-CR-19-19606.pdf","27-CR-19-19606")</f>
        <v>27-CR-19-19606</v>
      </c>
      <c r="D503" s="3" t="s">
        <v>334</v>
      </c>
      <c r="E503" s="8" t="str">
        <f aca="false">HYPERLINK("https://mncourtfraud.com/file/MCRO_27-CR-19-19606_Correspondence for Judicial Approval_2022-11-07_20240430092040.pdf","MCRO_27-CR-19-19606_Correspondence for Judicial Approval_2022-11-07_20240430092040.pdf")</f>
        <v>MCRO_27-CR-19-19606_Correspondence for Judicial Approval_2022-11-07_20240430092040.pdf</v>
      </c>
      <c r="F503" s="9" t="n">
        <v>44872</v>
      </c>
      <c r="G503" s="1" t="s">
        <v>419</v>
      </c>
      <c r="H503" s="3" t="s">
        <v>420</v>
      </c>
      <c r="I503" s="3" t="s">
        <v>422</v>
      </c>
    </row>
    <row r="504" customFormat="false" ht="18.7" hidden="false" customHeight="true" outlineLevel="0" collapsed="false">
      <c r="A504" s="1" t="n">
        <v>503</v>
      </c>
      <c r="B504" s="7" t="str">
        <f aca="false">HYPERLINK("https://mncourtfraud.com/file/TJ-22.zip","TJ-22.zip")</f>
        <v>TJ-22.zip</v>
      </c>
      <c r="C504" s="8" t="str">
        <f aca="false">HYPERLINK("https://mncourtfraud.com/file/27-CR-20-20037.pdf","27-CR-20-20037")</f>
        <v>27-CR-20-20037</v>
      </c>
      <c r="D504" s="3" t="s">
        <v>334</v>
      </c>
      <c r="E504" s="8" t="str">
        <f aca="false">HYPERLINK("https://mncourtfraud.com/file/MCRO_27-CR-20-20037_Correspondence for Judicial Approval_2022-11-07_20240430090138.pdf","MCRO_27-CR-20-20037_Correspondence for Judicial Approval_2022-11-07_20240430090138.pdf")</f>
        <v>MCRO_27-CR-20-20037_Correspondence for Judicial Approval_2022-11-07_20240430090138.pdf</v>
      </c>
      <c r="F504" s="9" t="n">
        <v>44872</v>
      </c>
      <c r="G504" s="1" t="s">
        <v>419</v>
      </c>
      <c r="H504" s="3" t="s">
        <v>420</v>
      </c>
      <c r="I504" s="3" t="s">
        <v>423</v>
      </c>
    </row>
    <row r="505" customFormat="false" ht="18.7" hidden="false" customHeight="true" outlineLevel="0" collapsed="false">
      <c r="A505" s="1" t="n">
        <v>504</v>
      </c>
      <c r="B505" s="7" t="str">
        <f aca="false">HYPERLINK("https://mncourtfraud.com/file/TJ-22.zip","TJ-22.zip")</f>
        <v>TJ-22.zip</v>
      </c>
      <c r="C505" s="8" t="str">
        <f aca="false">HYPERLINK("https://mncourtfraud.com/file/27-CR-20-8926.pdf","27-CR-20-8926")</f>
        <v>27-CR-20-8926</v>
      </c>
      <c r="D505" s="3" t="s">
        <v>334</v>
      </c>
      <c r="E505" s="8" t="str">
        <f aca="false">HYPERLINK("https://mncourtfraud.com/file/MCRO_27-CR-20-8926_Correspondence for Judicial Approval_2022-11-07_20240430085435.pdf","MCRO_27-CR-20-8926_Correspondence for Judicial Approval_2022-11-07_20240430085435.pdf")</f>
        <v>MCRO_27-CR-20-8926_Correspondence for Judicial Approval_2022-11-07_20240430085435.pdf</v>
      </c>
      <c r="F505" s="9" t="n">
        <v>44872</v>
      </c>
      <c r="G505" s="1" t="s">
        <v>419</v>
      </c>
      <c r="H505" s="3" t="s">
        <v>420</v>
      </c>
      <c r="I505" s="3" t="s">
        <v>424</v>
      </c>
    </row>
    <row r="506" customFormat="false" ht="18.7" hidden="false" customHeight="true" outlineLevel="0" collapsed="false">
      <c r="A506" s="1" t="n">
        <v>505</v>
      </c>
      <c r="B506" s="7" t="str">
        <f aca="false">HYPERLINK("https://mncourtfraud.com/file/TJ-22.zip","TJ-22.zip")</f>
        <v>TJ-22.zip</v>
      </c>
      <c r="C506" s="8" t="str">
        <f aca="false">HYPERLINK("https://mncourtfraud.com/file/27-CR-21-19552.pdf","27-CR-21-19552")</f>
        <v>27-CR-21-19552</v>
      </c>
      <c r="D506" s="3" t="s">
        <v>334</v>
      </c>
      <c r="E506" s="8" t="str">
        <f aca="false">HYPERLINK("https://mncourtfraud.com/file/MCRO_27-CR-21-19552_Correspondence for Judicial Approval_2022-11-07_20240430082841.pdf","MCRO_27-CR-21-19552_Correspondence for Judicial Approval_2022-11-07_20240430082841.pdf")</f>
        <v>MCRO_27-CR-21-19552_Correspondence for Judicial Approval_2022-11-07_20240430082841.pdf</v>
      </c>
      <c r="F506" s="9" t="n">
        <v>44872</v>
      </c>
      <c r="G506" s="1" t="s">
        <v>419</v>
      </c>
      <c r="H506" s="3" t="s">
        <v>420</v>
      </c>
      <c r="I506" s="3" t="s">
        <v>425</v>
      </c>
    </row>
    <row r="507" customFormat="false" ht="18.7" hidden="false" customHeight="true" outlineLevel="0" collapsed="false">
      <c r="A507" s="1" t="n">
        <v>506</v>
      </c>
      <c r="B507" s="7" t="str">
        <f aca="false">HYPERLINK("https://mncourtfraud.com/file/TJ-22.zip","TJ-22.zip")</f>
        <v>TJ-22.zip</v>
      </c>
      <c r="C507" s="8" t="str">
        <f aca="false">HYPERLINK("https://mncourtfraud.com/file/27-CR-21-23233.pdf","27-CR-21-23233")</f>
        <v>27-CR-21-23233</v>
      </c>
      <c r="D507" s="3" t="s">
        <v>334</v>
      </c>
      <c r="E507" s="8" t="str">
        <f aca="false">HYPERLINK("https://mncourtfraud.com/file/MCRO_27-CR-21-23233_Correspondence for Judicial Approval_2022-11-07_20240430084220.pdf","MCRO_27-CR-21-23233_Correspondence for Judicial Approval_2022-11-07_20240430084220.pdf")</f>
        <v>MCRO_27-CR-21-23233_Correspondence for Judicial Approval_2022-11-07_20240430084220.pdf</v>
      </c>
      <c r="F507" s="9" t="n">
        <v>44872</v>
      </c>
      <c r="G507" s="1" t="s">
        <v>419</v>
      </c>
      <c r="H507" s="3" t="s">
        <v>420</v>
      </c>
      <c r="I507" s="3" t="s">
        <v>426</v>
      </c>
    </row>
    <row r="508" customFormat="false" ht="18.7" hidden="false" customHeight="true" outlineLevel="0" collapsed="false">
      <c r="A508" s="1" t="n">
        <v>507</v>
      </c>
      <c r="B508" s="7" t="str">
        <f aca="false">HYPERLINK("https://mncourtfraud.com/file/TJ-22.zip","TJ-22.zip")</f>
        <v>TJ-22.zip</v>
      </c>
      <c r="C508" s="8" t="str">
        <f aca="false">HYPERLINK("https://mncourtfraud.com/file/27-CR-22-1165.pdf","27-CR-22-1165")</f>
        <v>27-CR-22-1165</v>
      </c>
      <c r="D508" s="3" t="s">
        <v>334</v>
      </c>
      <c r="E508" s="8" t="str">
        <f aca="false">HYPERLINK("https://mncourtfraud.com/file/MCRO_27-CR-22-1165_Correspondence for Judicial Approval_2022-11-07_20240429030431.pdf","MCRO_27-CR-22-1165_Correspondence for Judicial Approval_2022-11-07_20240429030431.pdf")</f>
        <v>MCRO_27-CR-22-1165_Correspondence for Judicial Approval_2022-11-07_20240429030431.pdf</v>
      </c>
      <c r="F508" s="9" t="n">
        <v>44872</v>
      </c>
      <c r="G508" s="1" t="s">
        <v>419</v>
      </c>
      <c r="H508" s="3" t="s">
        <v>420</v>
      </c>
      <c r="I508" s="3" t="s">
        <v>427</v>
      </c>
    </row>
    <row r="509" customFormat="false" ht="18.7" hidden="false" customHeight="true" outlineLevel="0" collapsed="false">
      <c r="A509" s="1" t="n">
        <v>508</v>
      </c>
      <c r="B509" s="7" t="str">
        <f aca="false">HYPERLINK("https://mncourtfraud.com/file/TJ-22.zip","TJ-22.zip")</f>
        <v>TJ-22.zip</v>
      </c>
      <c r="C509" s="8" t="str">
        <f aca="false">HYPERLINK("https://mncourtfraud.com/file/27-CR-22-4898.pdf","27-CR-22-4898")</f>
        <v>27-CR-22-4898</v>
      </c>
      <c r="D509" s="3" t="s">
        <v>334</v>
      </c>
      <c r="E509" s="8" t="str">
        <f aca="false">HYPERLINK("https://mncourtfraud.com/file/MCRO_27-CR-22-4898_Correspondence for Judicial Approval_2022-11-07_20240429040221.pdf","MCRO_27-CR-22-4898_Correspondence for Judicial Approval_2022-11-07_20240429040221.pdf")</f>
        <v>MCRO_27-CR-22-4898_Correspondence for Judicial Approval_2022-11-07_20240429040221.pdf</v>
      </c>
      <c r="F509" s="9" t="n">
        <v>44872</v>
      </c>
      <c r="G509" s="1" t="s">
        <v>419</v>
      </c>
      <c r="H509" s="3" t="s">
        <v>420</v>
      </c>
      <c r="I509" s="3" t="s">
        <v>428</v>
      </c>
    </row>
    <row r="510" customFormat="false" ht="18.7" hidden="false" customHeight="true" outlineLevel="0" collapsed="false">
      <c r="A510" s="1" t="n">
        <v>509</v>
      </c>
      <c r="F510" s="9"/>
    </row>
    <row r="511" customFormat="false" ht="18.7" hidden="false" customHeight="true" outlineLevel="0" collapsed="false">
      <c r="A511" s="1" t="n">
        <v>510</v>
      </c>
      <c r="B511" s="7" t="str">
        <f aca="false">HYPERLINK("https://mncourtfraud.com/file/TJ-23.zip","TJ-23.zip")</f>
        <v>TJ-23.zip</v>
      </c>
      <c r="C511" s="8" t="str">
        <f aca="false">HYPERLINK("https://mncourtfraud.com/file/27-CR-19-12466.pdf","27-CR-19-12466")</f>
        <v>27-CR-19-12466</v>
      </c>
      <c r="D511" s="3" t="s">
        <v>334</v>
      </c>
      <c r="E511" s="8" t="str">
        <f aca="false">HYPERLINK("https://mncourtfraud.com/file/MCRO_27-CR-19-12466_Proposed Order or Document_2022-11-07_20240430091821.pdf","MCRO_27-CR-19-12466_Proposed Order or Document_2022-11-07_20240430091821.pdf")</f>
        <v>MCRO_27-CR-19-12466_Proposed Order or Document_2022-11-07_20240430091821.pdf</v>
      </c>
      <c r="F511" s="9" t="n">
        <v>44872</v>
      </c>
      <c r="G511" s="1" t="s">
        <v>429</v>
      </c>
      <c r="H511" s="3" t="s">
        <v>430</v>
      </c>
      <c r="I511" s="3" t="s">
        <v>431</v>
      </c>
    </row>
    <row r="512" customFormat="false" ht="18.7" hidden="false" customHeight="true" outlineLevel="0" collapsed="false">
      <c r="A512" s="1" t="n">
        <v>511</v>
      </c>
      <c r="B512" s="7" t="str">
        <f aca="false">HYPERLINK("https://mncourtfraud.com/file/TJ-23.zip","TJ-23.zip")</f>
        <v>TJ-23.zip</v>
      </c>
      <c r="C512" s="8" t="str">
        <f aca="false">HYPERLINK("https://mncourtfraud.com/file/27-CR-19-19606.pdf","27-CR-19-19606")</f>
        <v>27-CR-19-19606</v>
      </c>
      <c r="D512" s="3" t="s">
        <v>334</v>
      </c>
      <c r="E512" s="8" t="str">
        <f aca="false">HYPERLINK("https://mncourtfraud.com/file/MCRO_27-CR-19-19606_Proposed Order or Document_2022-11-07_20240430092039.pdf","MCRO_27-CR-19-19606_Proposed Order or Document_2022-11-07_20240430092039.pdf")</f>
        <v>MCRO_27-CR-19-19606_Proposed Order or Document_2022-11-07_20240430092039.pdf</v>
      </c>
      <c r="F512" s="9" t="n">
        <v>44872</v>
      </c>
      <c r="G512" s="1" t="s">
        <v>429</v>
      </c>
      <c r="H512" s="3" t="s">
        <v>430</v>
      </c>
      <c r="I512" s="3" t="s">
        <v>432</v>
      </c>
    </row>
    <row r="513" customFormat="false" ht="18.7" hidden="false" customHeight="true" outlineLevel="0" collapsed="false">
      <c r="A513" s="1" t="n">
        <v>512</v>
      </c>
      <c r="B513" s="7" t="str">
        <f aca="false">HYPERLINK("https://mncourtfraud.com/file/TJ-23.zip","TJ-23.zip")</f>
        <v>TJ-23.zip</v>
      </c>
      <c r="C513" s="8" t="str">
        <f aca="false">HYPERLINK("https://mncourtfraud.com/file/27-CR-20-20037.pdf","27-CR-20-20037")</f>
        <v>27-CR-20-20037</v>
      </c>
      <c r="D513" s="3" t="s">
        <v>334</v>
      </c>
      <c r="E513" s="8" t="str">
        <f aca="false">HYPERLINK("https://mncourtfraud.com/file/MCRO_27-CR-20-20037_Proposed Order or Document_2022-11-07_20240430090137.pdf","MCRO_27-CR-20-20037_Proposed Order or Document_2022-11-07_20240430090137.pdf")</f>
        <v>MCRO_27-CR-20-20037_Proposed Order or Document_2022-11-07_20240430090137.pdf</v>
      </c>
      <c r="F513" s="9" t="n">
        <v>44872</v>
      </c>
      <c r="G513" s="1" t="s">
        <v>429</v>
      </c>
      <c r="H513" s="3" t="s">
        <v>430</v>
      </c>
      <c r="I513" s="3" t="s">
        <v>433</v>
      </c>
    </row>
    <row r="514" customFormat="false" ht="18.7" hidden="false" customHeight="true" outlineLevel="0" collapsed="false">
      <c r="A514" s="1" t="n">
        <v>513</v>
      </c>
      <c r="B514" s="7" t="str">
        <f aca="false">HYPERLINK("https://mncourtfraud.com/file/TJ-23.zip","TJ-23.zip")</f>
        <v>TJ-23.zip</v>
      </c>
      <c r="C514" s="8" t="str">
        <f aca="false">HYPERLINK("https://mncourtfraud.com/file/27-CR-20-8926.pdf","27-CR-20-8926")</f>
        <v>27-CR-20-8926</v>
      </c>
      <c r="D514" s="3" t="s">
        <v>334</v>
      </c>
      <c r="E514" s="8" t="str">
        <f aca="false">HYPERLINK("https://mncourtfraud.com/file/MCRO_27-CR-20-8926_Proposed Order or Document_2022-11-07_20240430085434.pdf","MCRO_27-CR-20-8926_Proposed Order or Document_2022-11-07_20240430085434.pdf")</f>
        <v>MCRO_27-CR-20-8926_Proposed Order or Document_2022-11-07_20240430085434.pdf</v>
      </c>
      <c r="F514" s="9" t="n">
        <v>44872</v>
      </c>
      <c r="G514" s="1" t="s">
        <v>429</v>
      </c>
      <c r="H514" s="3" t="s">
        <v>430</v>
      </c>
      <c r="I514" s="3" t="s">
        <v>434</v>
      </c>
    </row>
    <row r="515" customFormat="false" ht="18.7" hidden="false" customHeight="true" outlineLevel="0" collapsed="false">
      <c r="A515" s="1" t="n">
        <v>514</v>
      </c>
      <c r="B515" s="7" t="str">
        <f aca="false">HYPERLINK("https://mncourtfraud.com/file/TJ-23.zip","TJ-23.zip")</f>
        <v>TJ-23.zip</v>
      </c>
      <c r="C515" s="8" t="str">
        <f aca="false">HYPERLINK("https://mncourtfraud.com/file/27-CR-21-19552.pdf","27-CR-21-19552")</f>
        <v>27-CR-21-19552</v>
      </c>
      <c r="D515" s="3" t="s">
        <v>334</v>
      </c>
      <c r="E515" s="8" t="str">
        <f aca="false">HYPERLINK("https://mncourtfraud.com/file/MCRO_27-CR-21-19552_Proposed Order or Document_2022-11-07_20240430082840.pdf","MCRO_27-CR-21-19552_Proposed Order or Document_2022-11-07_20240430082840.pdf")</f>
        <v>MCRO_27-CR-21-19552_Proposed Order or Document_2022-11-07_20240430082840.pdf</v>
      </c>
      <c r="F515" s="9" t="n">
        <v>44872</v>
      </c>
      <c r="G515" s="1" t="s">
        <v>429</v>
      </c>
      <c r="H515" s="3" t="s">
        <v>430</v>
      </c>
      <c r="I515" s="3" t="s">
        <v>435</v>
      </c>
    </row>
    <row r="516" customFormat="false" ht="18.7" hidden="false" customHeight="true" outlineLevel="0" collapsed="false">
      <c r="A516" s="1" t="n">
        <v>515</v>
      </c>
      <c r="B516" s="7" t="str">
        <f aca="false">HYPERLINK("https://mncourtfraud.com/file/TJ-23.zip","TJ-23.zip")</f>
        <v>TJ-23.zip</v>
      </c>
      <c r="C516" s="8" t="str">
        <f aca="false">HYPERLINK("https://mncourtfraud.com/file/27-CR-21-23233.pdf","27-CR-21-23233")</f>
        <v>27-CR-21-23233</v>
      </c>
      <c r="D516" s="3" t="s">
        <v>334</v>
      </c>
      <c r="E516" s="8" t="str">
        <f aca="false">HYPERLINK("https://mncourtfraud.com/file/MCRO_27-CR-21-23233_Proposed Order or Document_2022-11-07_20240430084219.pdf","MCRO_27-CR-21-23233_Proposed Order or Document_2022-11-07_20240430084219.pdf")</f>
        <v>MCRO_27-CR-21-23233_Proposed Order or Document_2022-11-07_20240430084219.pdf</v>
      </c>
      <c r="F516" s="9" t="n">
        <v>44872</v>
      </c>
      <c r="G516" s="1" t="s">
        <v>429</v>
      </c>
      <c r="H516" s="3" t="s">
        <v>430</v>
      </c>
      <c r="I516" s="3" t="s">
        <v>436</v>
      </c>
    </row>
    <row r="517" customFormat="false" ht="18.7" hidden="false" customHeight="true" outlineLevel="0" collapsed="false">
      <c r="A517" s="1" t="n">
        <v>516</v>
      </c>
      <c r="B517" s="7" t="str">
        <f aca="false">HYPERLINK("https://mncourtfraud.com/file/TJ-23.zip","TJ-23.zip")</f>
        <v>TJ-23.zip</v>
      </c>
      <c r="C517" s="8" t="str">
        <f aca="false">HYPERLINK("https://mncourtfraud.com/file/27-CR-22-1165.pdf","27-CR-22-1165")</f>
        <v>27-CR-22-1165</v>
      </c>
      <c r="D517" s="3" t="s">
        <v>334</v>
      </c>
      <c r="E517" s="8" t="str">
        <f aca="false">HYPERLINK("https://mncourtfraud.com/file/MCRO_27-CR-22-1165_Proposed Order or Document_2022-11-07_20240429030430.pdf","MCRO_27-CR-22-1165_Proposed Order or Document_2022-11-07_20240429030430.pdf")</f>
        <v>MCRO_27-CR-22-1165_Proposed Order or Document_2022-11-07_20240429030430.pdf</v>
      </c>
      <c r="F517" s="9" t="n">
        <v>44872</v>
      </c>
      <c r="G517" s="1" t="s">
        <v>429</v>
      </c>
      <c r="H517" s="3" t="s">
        <v>430</v>
      </c>
      <c r="I517" s="3" t="s">
        <v>437</v>
      </c>
    </row>
    <row r="518" customFormat="false" ht="18.7" hidden="false" customHeight="true" outlineLevel="0" collapsed="false">
      <c r="A518" s="1" t="n">
        <v>517</v>
      </c>
      <c r="B518" s="7" t="str">
        <f aca="false">HYPERLINK("https://mncourtfraud.com/file/TJ-23.zip","TJ-23.zip")</f>
        <v>TJ-23.zip</v>
      </c>
      <c r="C518" s="8" t="str">
        <f aca="false">HYPERLINK("https://mncourtfraud.com/file/27-CR-22-4898.pdf","27-CR-22-4898")</f>
        <v>27-CR-22-4898</v>
      </c>
      <c r="D518" s="3" t="s">
        <v>334</v>
      </c>
      <c r="E518" s="8" t="str">
        <f aca="false">HYPERLINK("https://mncourtfraud.com/file/MCRO_27-CR-22-4898_Proposed Order or Document_2022-11-07_20240429040220.pdf","MCRO_27-CR-22-4898_Proposed Order or Document_2022-11-07_20240429040220.pdf")</f>
        <v>MCRO_27-CR-22-4898_Proposed Order or Document_2022-11-07_20240429040220.pdf</v>
      </c>
      <c r="F518" s="9" t="n">
        <v>44872</v>
      </c>
      <c r="G518" s="1" t="s">
        <v>429</v>
      </c>
      <c r="H518" s="3" t="s">
        <v>430</v>
      </c>
      <c r="I518" s="3" t="s">
        <v>438</v>
      </c>
    </row>
    <row r="519" customFormat="false" ht="18.7" hidden="false" customHeight="true" outlineLevel="0" collapsed="false">
      <c r="A519" s="1" t="n">
        <v>518</v>
      </c>
      <c r="F519" s="9"/>
    </row>
    <row r="520" customFormat="false" ht="18.7" hidden="false" customHeight="true" outlineLevel="0" collapsed="false">
      <c r="A520" s="1" t="n">
        <v>519</v>
      </c>
      <c r="B520" s="7" t="str">
        <f aca="false">HYPERLINK("https://mncourtfraud.com/file/TJ-24.zip","TJ-24.zip")</f>
        <v>TJ-24.zip</v>
      </c>
      <c r="C520" s="8" t="str">
        <f aca="false">HYPERLINK("https://mncourtfraud.com/file/27-CR-19-12466.pdf","27-CR-19-12466")</f>
        <v>27-CR-19-12466</v>
      </c>
      <c r="D520" s="3" t="s">
        <v>334</v>
      </c>
      <c r="E520" s="8" t="str">
        <f aca="false">HYPERLINK("https://mncourtfraud.com/file/MCRO_27-CR-19-12466_Order-Evaluation for Competency to Proceed (Rule 20.01)_2022-12-27_20240430091818.pdf","MCRO_27-CR-19-12466_Order-Evaluation for Competency to Proceed (Rule 20.01)_2022-12-27_20240430091818.pdf")</f>
        <v>MCRO_27-CR-19-12466_Order-Evaluation for Competency to Proceed (Rule 20.01)_2022-12-27_20240430091818.pdf</v>
      </c>
      <c r="F520" s="9" t="n">
        <v>44922</v>
      </c>
      <c r="G520" s="1" t="s">
        <v>439</v>
      </c>
      <c r="H520" s="3" t="s">
        <v>440</v>
      </c>
      <c r="I520" s="3" t="s">
        <v>441</v>
      </c>
    </row>
    <row r="521" customFormat="false" ht="18.7" hidden="false" customHeight="true" outlineLevel="0" collapsed="false">
      <c r="A521" s="1" t="n">
        <v>520</v>
      </c>
      <c r="B521" s="7" t="str">
        <f aca="false">HYPERLINK("https://mncourtfraud.com/file/TJ-24.zip","TJ-24.zip")</f>
        <v>TJ-24.zip</v>
      </c>
      <c r="C521" s="8" t="str">
        <f aca="false">HYPERLINK("https://mncourtfraud.com/file/27-CR-19-19606.pdf","27-CR-19-19606")</f>
        <v>27-CR-19-19606</v>
      </c>
      <c r="D521" s="3" t="s">
        <v>334</v>
      </c>
      <c r="E521" s="8" t="str">
        <f aca="false">HYPERLINK("https://mncourtfraud.com/file/MCRO_27-CR-19-19606_Order-Evaluation for Competency to Proceed (Rule 20.01)_2022-12-27_20240430092038.pdf","MCRO_27-CR-19-19606_Order-Evaluation for Competency to Proceed (Rule 20.01)_2022-12-27_20240430092038.pdf")</f>
        <v>MCRO_27-CR-19-19606_Order-Evaluation for Competency to Proceed (Rule 20.01)_2022-12-27_20240430092038.pdf</v>
      </c>
      <c r="F521" s="9" t="n">
        <v>44922</v>
      </c>
      <c r="G521" s="1" t="s">
        <v>439</v>
      </c>
      <c r="H521" s="3" t="s">
        <v>440</v>
      </c>
      <c r="I521" s="3" t="s">
        <v>441</v>
      </c>
    </row>
    <row r="522" customFormat="false" ht="18.7" hidden="false" customHeight="true" outlineLevel="0" collapsed="false">
      <c r="A522" s="1" t="n">
        <v>521</v>
      </c>
      <c r="B522" s="7" t="str">
        <f aca="false">HYPERLINK("https://mncourtfraud.com/file/TJ-24.zip","TJ-24.zip")</f>
        <v>TJ-24.zip</v>
      </c>
      <c r="C522" s="8" t="str">
        <f aca="false">HYPERLINK("https://mncourtfraud.com/file/27-CR-20-20037.pdf","27-CR-20-20037")</f>
        <v>27-CR-20-20037</v>
      </c>
      <c r="D522" s="3" t="s">
        <v>334</v>
      </c>
      <c r="E522" s="8" t="str">
        <f aca="false">HYPERLINK("https://mncourtfraud.com/file/MCRO_27-CR-20-20037_Order-Evaluation for Competency to Proceed (Rule 20.01)_2022-12-27_20240430090136.pdf","MCRO_27-CR-20-20037_Order-Evaluation for Competency to Proceed (Rule 20.01)_2022-12-27_20240430090136.pdf")</f>
        <v>MCRO_27-CR-20-20037_Order-Evaluation for Competency to Proceed (Rule 20.01)_2022-12-27_20240430090136.pdf</v>
      </c>
      <c r="F522" s="9" t="n">
        <v>44922</v>
      </c>
      <c r="G522" s="1" t="s">
        <v>439</v>
      </c>
      <c r="H522" s="3" t="s">
        <v>440</v>
      </c>
      <c r="I522" s="3" t="s">
        <v>441</v>
      </c>
    </row>
    <row r="523" customFormat="false" ht="18.7" hidden="false" customHeight="true" outlineLevel="0" collapsed="false">
      <c r="A523" s="1" t="n">
        <v>522</v>
      </c>
      <c r="B523" s="7" t="str">
        <f aca="false">HYPERLINK("https://mncourtfraud.com/file/TJ-24.zip","TJ-24.zip")</f>
        <v>TJ-24.zip</v>
      </c>
      <c r="C523" s="8" t="str">
        <f aca="false">HYPERLINK("https://mncourtfraud.com/file/27-CR-20-8926.pdf","27-CR-20-8926")</f>
        <v>27-CR-20-8926</v>
      </c>
      <c r="D523" s="3" t="s">
        <v>334</v>
      </c>
      <c r="E523" s="8" t="str">
        <f aca="false">HYPERLINK("https://mncourtfraud.com/file/MCRO_27-CR-20-8926_Order-Evaluation for Competency to Proceed (Rule 20.01)_2022-12-27_20240430085433.pdf","MCRO_27-CR-20-8926_Order-Evaluation for Competency to Proceed (Rule 20.01)_2022-12-27_20240430085433.pdf")</f>
        <v>MCRO_27-CR-20-8926_Order-Evaluation for Competency to Proceed (Rule 20.01)_2022-12-27_20240430085433.pdf</v>
      </c>
      <c r="F523" s="9" t="n">
        <v>44922</v>
      </c>
      <c r="G523" s="1" t="s">
        <v>439</v>
      </c>
      <c r="H523" s="3" t="s">
        <v>440</v>
      </c>
      <c r="I523" s="3" t="s">
        <v>441</v>
      </c>
    </row>
    <row r="524" customFormat="false" ht="18.7" hidden="false" customHeight="true" outlineLevel="0" collapsed="false">
      <c r="A524" s="1" t="n">
        <v>523</v>
      </c>
      <c r="B524" s="7" t="str">
        <f aca="false">HYPERLINK("https://mncourtfraud.com/file/TJ-24.zip","TJ-24.zip")</f>
        <v>TJ-24.zip</v>
      </c>
      <c r="C524" s="8" t="str">
        <f aca="false">HYPERLINK("https://mncourtfraud.com/file/27-CR-21-19552.pdf","27-CR-21-19552")</f>
        <v>27-CR-21-19552</v>
      </c>
      <c r="D524" s="3" t="s">
        <v>334</v>
      </c>
      <c r="E524" s="8" t="str">
        <f aca="false">HYPERLINK("https://mncourtfraud.com/file/MCRO_27-CR-21-19552_Order-Evaluation for Competency to Proceed (Rule 20.01)_2022-12-27_20240430082839.pdf","MCRO_27-CR-21-19552_Order-Evaluation for Competency to Proceed (Rule 20.01)_2022-12-27_20240430082839.pdf")</f>
        <v>MCRO_27-CR-21-19552_Order-Evaluation for Competency to Proceed (Rule 20.01)_2022-12-27_20240430082839.pdf</v>
      </c>
      <c r="F524" s="9" t="n">
        <v>44922</v>
      </c>
      <c r="G524" s="1" t="s">
        <v>439</v>
      </c>
      <c r="H524" s="3" t="s">
        <v>440</v>
      </c>
      <c r="I524" s="3" t="s">
        <v>441</v>
      </c>
    </row>
    <row r="525" customFormat="false" ht="18.7" hidden="false" customHeight="true" outlineLevel="0" collapsed="false">
      <c r="A525" s="1" t="n">
        <v>524</v>
      </c>
      <c r="B525" s="7" t="str">
        <f aca="false">HYPERLINK("https://mncourtfraud.com/file/TJ-24.zip","TJ-24.zip")</f>
        <v>TJ-24.zip</v>
      </c>
      <c r="C525" s="8" t="str">
        <f aca="false">HYPERLINK("https://mncourtfraud.com/file/27-CR-21-23233.pdf","27-CR-21-23233")</f>
        <v>27-CR-21-23233</v>
      </c>
      <c r="D525" s="3" t="s">
        <v>334</v>
      </c>
      <c r="E525" s="8" t="str">
        <f aca="false">HYPERLINK("https://mncourtfraud.com/file/MCRO_27-CR-21-23233_Order-Evaluation for Competency to Proceed (Rule 20.01)_2022-12-27_20240430084218.pdf","MCRO_27-CR-21-23233_Order-Evaluation for Competency to Proceed (Rule 20.01)_2022-12-27_20240430084218.pdf")</f>
        <v>MCRO_27-CR-21-23233_Order-Evaluation for Competency to Proceed (Rule 20.01)_2022-12-27_20240430084218.pdf</v>
      </c>
      <c r="F525" s="9" t="n">
        <v>44922</v>
      </c>
      <c r="G525" s="1" t="s">
        <v>439</v>
      </c>
      <c r="H525" s="3" t="s">
        <v>440</v>
      </c>
      <c r="I525" s="3" t="s">
        <v>441</v>
      </c>
    </row>
    <row r="526" customFormat="false" ht="18.7" hidden="false" customHeight="true" outlineLevel="0" collapsed="false">
      <c r="A526" s="1" t="n">
        <v>525</v>
      </c>
      <c r="B526" s="7" t="str">
        <f aca="false">HYPERLINK("https://mncourtfraud.com/file/TJ-24.zip","TJ-24.zip")</f>
        <v>TJ-24.zip</v>
      </c>
      <c r="C526" s="8" t="str">
        <f aca="false">HYPERLINK("https://mncourtfraud.com/file/27-CR-22-1165.pdf","27-CR-22-1165")</f>
        <v>27-CR-22-1165</v>
      </c>
      <c r="D526" s="3" t="s">
        <v>334</v>
      </c>
      <c r="E526" s="8" t="str">
        <f aca="false">HYPERLINK("https://mncourtfraud.com/file/MCRO_27-CR-22-1165_Order-Evaluation for Competency to Proceed (Rule 20.01)_2022-12-27_20240429030429.pdf","MCRO_27-CR-22-1165_Order-Evaluation for Competency to Proceed (Rule 20.01)_2022-12-27_20240429030429.pdf")</f>
        <v>MCRO_27-CR-22-1165_Order-Evaluation for Competency to Proceed (Rule 20.01)_2022-12-27_20240429030429.pdf</v>
      </c>
      <c r="F526" s="9" t="n">
        <v>44922</v>
      </c>
      <c r="G526" s="1" t="s">
        <v>439</v>
      </c>
      <c r="H526" s="3" t="s">
        <v>440</v>
      </c>
      <c r="I526" s="3" t="s">
        <v>441</v>
      </c>
    </row>
    <row r="527" customFormat="false" ht="18.7" hidden="false" customHeight="true" outlineLevel="0" collapsed="false">
      <c r="A527" s="1" t="n">
        <v>526</v>
      </c>
      <c r="B527" s="7" t="str">
        <f aca="false">HYPERLINK("https://mncourtfraud.com/file/TJ-24.zip","TJ-24.zip")</f>
        <v>TJ-24.zip</v>
      </c>
      <c r="C527" s="8" t="str">
        <f aca="false">HYPERLINK("https://mncourtfraud.com/file/27-CR-22-4898.pdf","27-CR-22-4898")</f>
        <v>27-CR-22-4898</v>
      </c>
      <c r="D527" s="3" t="s">
        <v>334</v>
      </c>
      <c r="E527" s="8" t="str">
        <f aca="false">HYPERLINK("https://mncourtfraud.com/file/MCRO_27-CR-22-4898_Order-Evaluation for Competency to Proceed (Rule 20.01)_2022-12-27_20240429040219.pdf","MCRO_27-CR-22-4898_Order-Evaluation for Competency to Proceed (Rule 20.01)_2022-12-27_20240429040219.pdf")</f>
        <v>MCRO_27-CR-22-4898_Order-Evaluation for Competency to Proceed (Rule 20.01)_2022-12-27_20240429040219.pdf</v>
      </c>
      <c r="F527" s="9" t="n">
        <v>44922</v>
      </c>
      <c r="G527" s="1" t="s">
        <v>439</v>
      </c>
      <c r="H527" s="3" t="s">
        <v>440</v>
      </c>
      <c r="I527" s="3" t="s">
        <v>441</v>
      </c>
    </row>
    <row r="528" customFormat="false" ht="18.7" hidden="false" customHeight="true" outlineLevel="0" collapsed="false">
      <c r="A528" s="1" t="n">
        <v>527</v>
      </c>
      <c r="F528" s="9"/>
    </row>
    <row r="529" customFormat="false" ht="18.7" hidden="false" customHeight="true" outlineLevel="0" collapsed="false">
      <c r="A529" s="1" t="n">
        <v>528</v>
      </c>
      <c r="B529" s="7" t="str">
        <f aca="false">HYPERLINK("https://mncourtfraud.com/file/TJ-25.zip","TJ-25.zip")</f>
        <v>TJ-25.zip</v>
      </c>
      <c r="C529" s="8" t="str">
        <f aca="false">HYPERLINK("https://mncourtfraud.com/file/27-CR-19-12466.pdf","27-CR-19-12466")</f>
        <v>27-CR-19-12466</v>
      </c>
      <c r="D529" s="3" t="s">
        <v>334</v>
      </c>
      <c r="E529" s="8" t="str">
        <f aca="false">HYPERLINK("https://mncourtfraud.com/file/MCRO_27-CR-19-12466_Order-Evaluation for Competency to Proceed (Rule 20.01)_2023-01-11_20240430091817.pdf","MCRO_27-CR-19-12466_Order-Evaluation for Competency to Proceed (Rule 20.01)_2023-01-11_20240430091817.pdf")</f>
        <v>MCRO_27-CR-19-12466_Order-Evaluation for Competency to Proceed (Rule 20.01)_2023-01-11_20240430091817.pdf</v>
      </c>
      <c r="F529" s="9" t="n">
        <v>44937</v>
      </c>
      <c r="G529" s="1" t="s">
        <v>442</v>
      </c>
      <c r="H529" s="3" t="s">
        <v>443</v>
      </c>
      <c r="I529" s="3" t="s">
        <v>444</v>
      </c>
      <c r="J529" s="3" t="s">
        <v>64</v>
      </c>
      <c r="K529" s="1" t="s">
        <v>445</v>
      </c>
      <c r="L529" s="3" t="s">
        <v>446</v>
      </c>
    </row>
    <row r="530" customFormat="false" ht="18.7" hidden="false" customHeight="true" outlineLevel="0" collapsed="false">
      <c r="A530" s="1" t="n">
        <v>529</v>
      </c>
      <c r="B530" s="7" t="str">
        <f aca="false">HYPERLINK("https://mncourtfraud.com/file/TJ-25.zip","TJ-25.zip")</f>
        <v>TJ-25.zip</v>
      </c>
      <c r="C530" s="8" t="str">
        <f aca="false">HYPERLINK("https://mncourtfraud.com/file/27-CR-19-19606.pdf","27-CR-19-19606")</f>
        <v>27-CR-19-19606</v>
      </c>
      <c r="D530" s="3" t="s">
        <v>334</v>
      </c>
      <c r="E530" s="8" t="str">
        <f aca="false">HYPERLINK("https://mncourtfraud.com/file/MCRO_27-CR-19-19606_Order-Evaluation for Competency to Proceed (Rule 20.01)_2023-01-11_20240430092037.pdf","MCRO_27-CR-19-19606_Order-Evaluation for Competency to Proceed (Rule 20.01)_2023-01-11_20240430092037.pdf")</f>
        <v>MCRO_27-CR-19-19606_Order-Evaluation for Competency to Proceed (Rule 20.01)_2023-01-11_20240430092037.pdf</v>
      </c>
      <c r="F530" s="9" t="n">
        <v>44937</v>
      </c>
      <c r="G530" s="1" t="s">
        <v>442</v>
      </c>
      <c r="H530" s="3" t="s">
        <v>443</v>
      </c>
      <c r="I530" s="3" t="s">
        <v>444</v>
      </c>
      <c r="J530" s="3" t="s">
        <v>64</v>
      </c>
      <c r="K530" s="1" t="s">
        <v>445</v>
      </c>
      <c r="L530" s="3" t="s">
        <v>446</v>
      </c>
    </row>
    <row r="531" customFormat="false" ht="18.7" hidden="false" customHeight="true" outlineLevel="0" collapsed="false">
      <c r="A531" s="1" t="n">
        <v>530</v>
      </c>
      <c r="B531" s="7" t="str">
        <f aca="false">HYPERLINK("https://mncourtfraud.com/file/TJ-25.zip","TJ-25.zip")</f>
        <v>TJ-25.zip</v>
      </c>
      <c r="C531" s="8" t="str">
        <f aca="false">HYPERLINK("https://mncourtfraud.com/file/27-CR-20-20037.pdf","27-CR-20-20037")</f>
        <v>27-CR-20-20037</v>
      </c>
      <c r="D531" s="3" t="s">
        <v>334</v>
      </c>
      <c r="E531" s="8" t="str">
        <f aca="false">HYPERLINK("https://mncourtfraud.com/file/MCRO_27-CR-20-20037_Order-Evaluation for Competency to Proceed (Rule 20.01)_2023-01-11_20240430090135.pdf","MCRO_27-CR-20-20037_Order-Evaluation for Competency to Proceed (Rule 20.01)_2023-01-11_20240430090135.pdf")</f>
        <v>MCRO_27-CR-20-20037_Order-Evaluation for Competency to Proceed (Rule 20.01)_2023-01-11_20240430090135.pdf</v>
      </c>
      <c r="F531" s="9" t="n">
        <v>44937</v>
      </c>
      <c r="G531" s="1" t="s">
        <v>442</v>
      </c>
      <c r="H531" s="3" t="s">
        <v>443</v>
      </c>
      <c r="I531" s="3" t="s">
        <v>444</v>
      </c>
      <c r="J531" s="3" t="s">
        <v>64</v>
      </c>
      <c r="K531" s="1" t="s">
        <v>445</v>
      </c>
      <c r="L531" s="3" t="s">
        <v>446</v>
      </c>
    </row>
    <row r="532" customFormat="false" ht="18.7" hidden="false" customHeight="true" outlineLevel="0" collapsed="false">
      <c r="A532" s="1" t="n">
        <v>531</v>
      </c>
      <c r="B532" s="7" t="str">
        <f aca="false">HYPERLINK("https://mncourtfraud.com/file/TJ-25.zip","TJ-25.zip")</f>
        <v>TJ-25.zip</v>
      </c>
      <c r="C532" s="8" t="str">
        <f aca="false">HYPERLINK("https://mncourtfraud.com/file/27-CR-20-8926.pdf","27-CR-20-8926")</f>
        <v>27-CR-20-8926</v>
      </c>
      <c r="D532" s="3" t="s">
        <v>334</v>
      </c>
      <c r="E532" s="8" t="str">
        <f aca="false">HYPERLINK("https://mncourtfraud.com/file/MCRO_27-CR-20-8926_Order-Evaluation for Competency to Proceed (Rule 20.01)_2023-01-11_20240430085432.pdf","MCRO_27-CR-20-8926_Order-Evaluation for Competency to Proceed (Rule 20.01)_2023-01-11_20240430085432.pdf")</f>
        <v>MCRO_27-CR-20-8926_Order-Evaluation for Competency to Proceed (Rule 20.01)_2023-01-11_20240430085432.pdf</v>
      </c>
      <c r="F532" s="9" t="n">
        <v>44937</v>
      </c>
      <c r="G532" s="1" t="s">
        <v>442</v>
      </c>
      <c r="H532" s="3" t="s">
        <v>443</v>
      </c>
      <c r="I532" s="3" t="s">
        <v>444</v>
      </c>
      <c r="J532" s="3" t="s">
        <v>64</v>
      </c>
      <c r="K532" s="1" t="s">
        <v>445</v>
      </c>
      <c r="L532" s="3" t="s">
        <v>446</v>
      </c>
    </row>
    <row r="533" customFormat="false" ht="18.7" hidden="false" customHeight="true" outlineLevel="0" collapsed="false">
      <c r="A533" s="1" t="n">
        <v>532</v>
      </c>
      <c r="B533" s="7" t="str">
        <f aca="false">HYPERLINK("https://mncourtfraud.com/file/TJ-25.zip","TJ-25.zip")</f>
        <v>TJ-25.zip</v>
      </c>
      <c r="C533" s="8" t="str">
        <f aca="false">HYPERLINK("https://mncourtfraud.com/file/27-CR-21-19552.pdf","27-CR-21-19552")</f>
        <v>27-CR-21-19552</v>
      </c>
      <c r="D533" s="3" t="s">
        <v>334</v>
      </c>
      <c r="E533" s="8" t="str">
        <f aca="false">HYPERLINK("https://mncourtfraud.com/file/MCRO_27-CR-21-19552_Order-Evaluation for Competency to Proceed (Rule 20.01)_2023-01-11_20240430082838.pdf","MCRO_27-CR-21-19552_Order-Evaluation for Competency to Proceed (Rule 20.01)_2023-01-11_20240430082838.pdf")</f>
        <v>MCRO_27-CR-21-19552_Order-Evaluation for Competency to Proceed (Rule 20.01)_2023-01-11_20240430082838.pdf</v>
      </c>
      <c r="F533" s="9" t="n">
        <v>44937</v>
      </c>
      <c r="G533" s="1" t="s">
        <v>442</v>
      </c>
      <c r="H533" s="3" t="s">
        <v>443</v>
      </c>
      <c r="I533" s="3" t="s">
        <v>444</v>
      </c>
      <c r="J533" s="3" t="s">
        <v>64</v>
      </c>
      <c r="K533" s="1" t="s">
        <v>445</v>
      </c>
      <c r="L533" s="3" t="s">
        <v>446</v>
      </c>
    </row>
    <row r="534" customFormat="false" ht="18.7" hidden="false" customHeight="true" outlineLevel="0" collapsed="false">
      <c r="A534" s="1" t="n">
        <v>533</v>
      </c>
      <c r="B534" s="7" t="str">
        <f aca="false">HYPERLINK("https://mncourtfraud.com/file/TJ-25.zip","TJ-25.zip")</f>
        <v>TJ-25.zip</v>
      </c>
      <c r="C534" s="8" t="str">
        <f aca="false">HYPERLINK("https://mncourtfraud.com/file/27-CR-21-23233.pdf","27-CR-21-23233")</f>
        <v>27-CR-21-23233</v>
      </c>
      <c r="D534" s="3" t="s">
        <v>334</v>
      </c>
      <c r="E534" s="8" t="str">
        <f aca="false">HYPERLINK("https://mncourtfraud.com/file/MCRO_27-CR-21-23233_Order-Evaluation for Competency to Proceed (Rule 20.01)_2023-01-11_20240430084217.pdf","MCRO_27-CR-21-23233_Order-Evaluation for Competency to Proceed (Rule 20.01)_2023-01-11_20240430084217.pdf")</f>
        <v>MCRO_27-CR-21-23233_Order-Evaluation for Competency to Proceed (Rule 20.01)_2023-01-11_20240430084217.pdf</v>
      </c>
      <c r="F534" s="9" t="n">
        <v>44937</v>
      </c>
      <c r="G534" s="1" t="s">
        <v>442</v>
      </c>
      <c r="H534" s="3" t="s">
        <v>443</v>
      </c>
      <c r="I534" s="3" t="s">
        <v>444</v>
      </c>
      <c r="J534" s="3" t="s">
        <v>64</v>
      </c>
      <c r="K534" s="1" t="s">
        <v>445</v>
      </c>
      <c r="L534" s="3" t="s">
        <v>446</v>
      </c>
    </row>
    <row r="535" customFormat="false" ht="18.7" hidden="false" customHeight="true" outlineLevel="0" collapsed="false">
      <c r="A535" s="1" t="n">
        <v>534</v>
      </c>
      <c r="B535" s="7" t="str">
        <f aca="false">HYPERLINK("https://mncourtfraud.com/file/TJ-25.zip","TJ-25.zip")</f>
        <v>TJ-25.zip</v>
      </c>
      <c r="C535" s="8" t="str">
        <f aca="false">HYPERLINK("https://mncourtfraud.com/file/27-CR-22-1165.pdf","27-CR-22-1165")</f>
        <v>27-CR-22-1165</v>
      </c>
      <c r="D535" s="3" t="s">
        <v>334</v>
      </c>
      <c r="E535" s="8" t="str">
        <f aca="false">HYPERLINK("https://mncourtfraud.com/file/MCRO_27-CR-22-1165_Order-Evaluation for Competency to Proceed (Rule 20.01)_2023-01-11_20240429030428.pdf","MCRO_27-CR-22-1165_Order-Evaluation for Competency to Proceed (Rule 20.01)_2023-01-11_20240429030428.pdf")</f>
        <v>MCRO_27-CR-22-1165_Order-Evaluation for Competency to Proceed (Rule 20.01)_2023-01-11_20240429030428.pdf</v>
      </c>
      <c r="F535" s="9" t="n">
        <v>44937</v>
      </c>
      <c r="G535" s="1" t="s">
        <v>442</v>
      </c>
      <c r="H535" s="3" t="s">
        <v>443</v>
      </c>
      <c r="I535" s="3" t="s">
        <v>444</v>
      </c>
      <c r="J535" s="3" t="s">
        <v>64</v>
      </c>
      <c r="K535" s="1" t="s">
        <v>445</v>
      </c>
      <c r="L535" s="3" t="s">
        <v>446</v>
      </c>
    </row>
    <row r="536" customFormat="false" ht="18.7" hidden="false" customHeight="true" outlineLevel="0" collapsed="false">
      <c r="A536" s="1" t="n">
        <v>535</v>
      </c>
      <c r="B536" s="7" t="str">
        <f aca="false">HYPERLINK("https://mncourtfraud.com/file/TJ-25.zip","TJ-25.zip")</f>
        <v>TJ-25.zip</v>
      </c>
      <c r="C536" s="8" t="str">
        <f aca="false">HYPERLINK("https://mncourtfraud.com/file/27-CR-22-4898.pdf","27-CR-22-4898")</f>
        <v>27-CR-22-4898</v>
      </c>
      <c r="D536" s="3" t="s">
        <v>334</v>
      </c>
      <c r="E536" s="8" t="str">
        <f aca="false">HYPERLINK("https://mncourtfraud.com/file/MCRO_27-CR-22-4898_Order-Evaluation for Competency to Proceed (Rule 20.01)_2023-01-11_20240429040218.pdf","MCRO_27-CR-22-4898_Order-Evaluation for Competency to Proceed (Rule 20.01)_2023-01-11_20240429040218.pdf")</f>
        <v>MCRO_27-CR-22-4898_Order-Evaluation for Competency to Proceed (Rule 20.01)_2023-01-11_20240429040218.pdf</v>
      </c>
      <c r="F536" s="9" t="n">
        <v>44937</v>
      </c>
      <c r="G536" s="1" t="s">
        <v>442</v>
      </c>
      <c r="H536" s="3" t="s">
        <v>443</v>
      </c>
      <c r="I536" s="3" t="s">
        <v>444</v>
      </c>
      <c r="J536" s="3" t="s">
        <v>64</v>
      </c>
      <c r="K536" s="1" t="s">
        <v>445</v>
      </c>
      <c r="L536" s="3" t="s">
        <v>446</v>
      </c>
    </row>
    <row r="537" customFormat="false" ht="18.7" hidden="false" customHeight="true" outlineLevel="0" collapsed="false">
      <c r="A537" s="1" t="n">
        <v>536</v>
      </c>
      <c r="F537" s="9"/>
    </row>
    <row r="538" customFormat="false" ht="18.7" hidden="false" customHeight="true" outlineLevel="0" collapsed="false">
      <c r="A538" s="1" t="n">
        <v>537</v>
      </c>
      <c r="B538" s="7" t="str">
        <f aca="false">HYPERLINK("https://mncourtfraud.com/file/TJ-26.zip","TJ-26.zip")</f>
        <v>TJ-26.zip</v>
      </c>
      <c r="C538" s="8" t="str">
        <f aca="false">HYPERLINK("https://mncourtfraud.com/file/27-CR-19-12466.pdf","27-CR-19-12466")</f>
        <v>27-CR-19-12466</v>
      </c>
      <c r="D538" s="3" t="s">
        <v>334</v>
      </c>
      <c r="E538" s="8" t="str">
        <f aca="false">HYPERLINK("https://mncourtfraud.com/file/MCRO_27-CR-19-12466_Notice of Remote Hearing with Instructions_2023-08-29_20240430091815.pdf","MCRO_27-CR-19-12466_Notice of Remote Hearing with Instructions_2023-08-29_20240430091815.pdf")</f>
        <v>MCRO_27-CR-19-12466_Notice of Remote Hearing with Instructions_2023-08-29_20240430091815.pdf</v>
      </c>
      <c r="F538" s="9" t="n">
        <v>45167</v>
      </c>
      <c r="G538" s="1" t="s">
        <v>447</v>
      </c>
      <c r="H538" s="3" t="s">
        <v>448</v>
      </c>
      <c r="I538" s="3" t="s">
        <v>449</v>
      </c>
    </row>
    <row r="539" customFormat="false" ht="18.7" hidden="false" customHeight="true" outlineLevel="0" collapsed="false">
      <c r="A539" s="1" t="n">
        <v>538</v>
      </c>
      <c r="B539" s="7" t="str">
        <f aca="false">HYPERLINK("https://mncourtfraud.com/file/TJ-26.zip","TJ-26.zip")</f>
        <v>TJ-26.zip</v>
      </c>
      <c r="C539" s="8" t="str">
        <f aca="false">HYPERLINK("https://mncourtfraud.com/file/27-CR-19-19606.pdf","27-CR-19-19606")</f>
        <v>27-CR-19-19606</v>
      </c>
      <c r="D539" s="3" t="s">
        <v>334</v>
      </c>
      <c r="E539" s="8" t="str">
        <f aca="false">HYPERLINK("https://mncourtfraud.com/file/MCRO_27-CR-19-19606_Notice of Remote Hearing with Instructions_2023-08-29_20240430092034.pdf","MCRO_27-CR-19-19606_Notice of Remote Hearing with Instructions_2023-08-29_20240430092034.pdf")</f>
        <v>MCRO_27-CR-19-19606_Notice of Remote Hearing with Instructions_2023-08-29_20240430092034.pdf</v>
      </c>
      <c r="F539" s="9" t="n">
        <v>45167</v>
      </c>
      <c r="G539" s="1" t="s">
        <v>447</v>
      </c>
      <c r="H539" s="3" t="s">
        <v>448</v>
      </c>
      <c r="I539" s="3" t="s">
        <v>449</v>
      </c>
    </row>
    <row r="540" customFormat="false" ht="18.7" hidden="false" customHeight="true" outlineLevel="0" collapsed="false">
      <c r="A540" s="1" t="n">
        <v>539</v>
      </c>
      <c r="B540" s="7" t="str">
        <f aca="false">HYPERLINK("https://mncourtfraud.com/file/TJ-26.zip","TJ-26.zip")</f>
        <v>TJ-26.zip</v>
      </c>
      <c r="C540" s="8" t="str">
        <f aca="false">HYPERLINK("https://mncourtfraud.com/file/27-CR-20-20037.pdf","27-CR-20-20037")</f>
        <v>27-CR-20-20037</v>
      </c>
      <c r="D540" s="3" t="s">
        <v>334</v>
      </c>
      <c r="E540" s="8" t="str">
        <f aca="false">HYPERLINK("https://mncourtfraud.com/file/MCRO_27-CR-20-20037_Notice of Remote Hearing with Instructions_2023-08-29_20240430090133.pdf","MCRO_27-CR-20-20037_Notice of Remote Hearing with Instructions_2023-08-29_20240430090133.pdf")</f>
        <v>MCRO_27-CR-20-20037_Notice of Remote Hearing with Instructions_2023-08-29_20240430090133.pdf</v>
      </c>
      <c r="F540" s="9" t="n">
        <v>45167</v>
      </c>
      <c r="G540" s="1" t="s">
        <v>447</v>
      </c>
      <c r="H540" s="3" t="s">
        <v>448</v>
      </c>
      <c r="I540" s="3" t="s">
        <v>449</v>
      </c>
    </row>
    <row r="541" customFormat="false" ht="18.7" hidden="false" customHeight="true" outlineLevel="0" collapsed="false">
      <c r="A541" s="1" t="n">
        <v>540</v>
      </c>
      <c r="B541" s="7" t="str">
        <f aca="false">HYPERLINK("https://mncourtfraud.com/file/TJ-26.zip","TJ-26.zip")</f>
        <v>TJ-26.zip</v>
      </c>
      <c r="C541" s="8" t="str">
        <f aca="false">HYPERLINK("https://mncourtfraud.com/file/27-CR-20-8926.pdf","27-CR-20-8926")</f>
        <v>27-CR-20-8926</v>
      </c>
      <c r="D541" s="3" t="s">
        <v>334</v>
      </c>
      <c r="E541" s="8" t="str">
        <f aca="false">HYPERLINK("https://mncourtfraud.com/file/MCRO_27-CR-20-8926_Notice of Remote Hearing with Instructions_2023-08-29_20240430085430.pdf","MCRO_27-CR-20-8926_Notice of Remote Hearing with Instructions_2023-08-29_20240430085430.pdf")</f>
        <v>MCRO_27-CR-20-8926_Notice of Remote Hearing with Instructions_2023-08-29_20240430085430.pdf</v>
      </c>
      <c r="F541" s="9" t="n">
        <v>45167</v>
      </c>
      <c r="G541" s="1" t="s">
        <v>447</v>
      </c>
      <c r="H541" s="3" t="s">
        <v>448</v>
      </c>
      <c r="I541" s="3" t="s">
        <v>449</v>
      </c>
    </row>
    <row r="542" customFormat="false" ht="18.7" hidden="false" customHeight="true" outlineLevel="0" collapsed="false">
      <c r="A542" s="1" t="n">
        <v>541</v>
      </c>
      <c r="B542" s="7" t="str">
        <f aca="false">HYPERLINK("https://mncourtfraud.com/file/TJ-26.zip","TJ-26.zip")</f>
        <v>TJ-26.zip</v>
      </c>
      <c r="C542" s="8" t="str">
        <f aca="false">HYPERLINK("https://mncourtfraud.com/file/27-CR-21-19552.pdf","27-CR-21-19552")</f>
        <v>27-CR-21-19552</v>
      </c>
      <c r="D542" s="3" t="s">
        <v>334</v>
      </c>
      <c r="E542" s="8" t="str">
        <f aca="false">HYPERLINK("https://mncourtfraud.com/file/MCRO_27-CR-21-19552_Notice of Remote Hearing with Instructions_2023-08-29_20240430082836.pdf","MCRO_27-CR-21-19552_Notice of Remote Hearing with Instructions_2023-08-29_20240430082836.pdf")</f>
        <v>MCRO_27-CR-21-19552_Notice of Remote Hearing with Instructions_2023-08-29_20240430082836.pdf</v>
      </c>
      <c r="F542" s="9" t="n">
        <v>45167</v>
      </c>
      <c r="G542" s="1" t="s">
        <v>447</v>
      </c>
      <c r="H542" s="3" t="s">
        <v>448</v>
      </c>
      <c r="I542" s="3" t="s">
        <v>449</v>
      </c>
    </row>
    <row r="543" customFormat="false" ht="18.7" hidden="false" customHeight="true" outlineLevel="0" collapsed="false">
      <c r="A543" s="1" t="n">
        <v>542</v>
      </c>
      <c r="B543" s="7" t="str">
        <f aca="false">HYPERLINK("https://mncourtfraud.com/file/TJ-26.zip","TJ-26.zip")</f>
        <v>TJ-26.zip</v>
      </c>
      <c r="C543" s="8" t="str">
        <f aca="false">HYPERLINK("https://mncourtfraud.com/file/27-CR-21-23233.pdf","27-CR-21-23233")</f>
        <v>27-CR-21-23233</v>
      </c>
      <c r="D543" s="3" t="s">
        <v>334</v>
      </c>
      <c r="E543" s="8" t="str">
        <f aca="false">HYPERLINK("https://mncourtfraud.com/file/MCRO_27-CR-21-23233_Notice of Remote Hearing with Instructions_2023-08-29_20240430084215.pdf","MCRO_27-CR-21-23233_Notice of Remote Hearing with Instructions_2023-08-29_20240430084215.pdf")</f>
        <v>MCRO_27-CR-21-23233_Notice of Remote Hearing with Instructions_2023-08-29_20240430084215.pdf</v>
      </c>
      <c r="F543" s="9" t="n">
        <v>45167</v>
      </c>
      <c r="G543" s="1" t="s">
        <v>447</v>
      </c>
      <c r="H543" s="3" t="s">
        <v>448</v>
      </c>
      <c r="I543" s="3" t="s">
        <v>449</v>
      </c>
    </row>
    <row r="544" customFormat="false" ht="18.7" hidden="false" customHeight="true" outlineLevel="0" collapsed="false">
      <c r="A544" s="1" t="n">
        <v>543</v>
      </c>
      <c r="B544" s="7" t="str">
        <f aca="false">HYPERLINK("https://mncourtfraud.com/file/TJ-26.zip","TJ-26.zip")</f>
        <v>TJ-26.zip</v>
      </c>
      <c r="C544" s="8" t="str">
        <f aca="false">HYPERLINK("https://mncourtfraud.com/file/27-CR-22-1165.pdf","27-CR-22-1165")</f>
        <v>27-CR-22-1165</v>
      </c>
      <c r="D544" s="3" t="s">
        <v>334</v>
      </c>
      <c r="E544" s="8" t="str">
        <f aca="false">HYPERLINK("https://mncourtfraud.com/file/MCRO_27-CR-22-1165_Notice of Remote Hearing with Instructions_2023-08-29_20240429030427.pdf","MCRO_27-CR-22-1165_Notice of Remote Hearing with Instructions_2023-08-29_20240429030427.pdf")</f>
        <v>MCRO_27-CR-22-1165_Notice of Remote Hearing with Instructions_2023-08-29_20240429030427.pdf</v>
      </c>
      <c r="F544" s="9" t="n">
        <v>45167</v>
      </c>
      <c r="G544" s="1" t="s">
        <v>447</v>
      </c>
      <c r="H544" s="3" t="s">
        <v>448</v>
      </c>
      <c r="I544" s="3" t="s">
        <v>449</v>
      </c>
    </row>
    <row r="545" customFormat="false" ht="18.7" hidden="false" customHeight="true" outlineLevel="0" collapsed="false">
      <c r="A545" s="1" t="n">
        <v>544</v>
      </c>
      <c r="B545" s="7" t="str">
        <f aca="false">HYPERLINK("https://mncourtfraud.com/file/TJ-26.zip","TJ-26.zip")</f>
        <v>TJ-26.zip</v>
      </c>
      <c r="C545" s="8" t="str">
        <f aca="false">HYPERLINK("https://mncourtfraud.com/file/27-CR-22-4898.pdf","27-CR-22-4898")</f>
        <v>27-CR-22-4898</v>
      </c>
      <c r="D545" s="3" t="s">
        <v>334</v>
      </c>
      <c r="E545" s="8" t="str">
        <f aca="false">HYPERLINK("https://mncourtfraud.com/file/MCRO_27-CR-22-4898_Notice of Remote Hearing with Instructions_2023-08-29_20240429040217.pdf","MCRO_27-CR-22-4898_Notice of Remote Hearing with Instructions_2023-08-29_20240429040217.pdf")</f>
        <v>MCRO_27-CR-22-4898_Notice of Remote Hearing with Instructions_2023-08-29_20240429040217.pdf</v>
      </c>
      <c r="F545" s="9" t="n">
        <v>45167</v>
      </c>
      <c r="G545" s="1" t="s">
        <v>447</v>
      </c>
      <c r="H545" s="3" t="s">
        <v>448</v>
      </c>
      <c r="I545" s="3" t="s">
        <v>449</v>
      </c>
    </row>
    <row r="546" customFormat="false" ht="18.7" hidden="false" customHeight="true" outlineLevel="0" collapsed="false">
      <c r="A546" s="1" t="n">
        <v>545</v>
      </c>
      <c r="B546" s="7" t="str">
        <f aca="false">HYPERLINK("https://mncourtfraud.com/file/TJ-26.zip","TJ-26.zip")</f>
        <v>TJ-26.zip</v>
      </c>
      <c r="C546" s="8" t="str">
        <f aca="false">HYPERLINK("https://mncourtfraud.com/file/27-CR-23-8649.pdf","27-CR-23-8649")</f>
        <v>27-CR-23-8649</v>
      </c>
      <c r="D546" s="3" t="s">
        <v>334</v>
      </c>
      <c r="E546" s="8" t="str">
        <f aca="false">HYPERLINK("https://mncourtfraud.com/file/MCRO_27-CR-23-8649_Notice of Remote Hearing with Instructions_2023-08-29_20240430073556.pdf","MCRO_27-CR-23-8649_Notice of Remote Hearing with Instructions_2023-08-29_20240430073556.pdf")</f>
        <v>MCRO_27-CR-23-8649_Notice of Remote Hearing with Instructions_2023-08-29_20240430073556.pdf</v>
      </c>
      <c r="F546" s="9" t="n">
        <v>45167</v>
      </c>
      <c r="G546" s="1" t="s">
        <v>447</v>
      </c>
      <c r="H546" s="3" t="s">
        <v>448</v>
      </c>
      <c r="I546" s="3" t="s">
        <v>449</v>
      </c>
    </row>
    <row r="547" customFormat="false" ht="18.7" hidden="false" customHeight="true" outlineLevel="0" collapsed="false">
      <c r="A547" s="1" t="n">
        <v>546</v>
      </c>
      <c r="F547" s="9"/>
    </row>
    <row r="548" customFormat="false" ht="18.7" hidden="false" customHeight="true" outlineLevel="0" collapsed="false">
      <c r="A548" s="1" t="n">
        <v>547</v>
      </c>
      <c r="B548" s="7" t="str">
        <f aca="false">HYPERLINK("https://mncourtfraud.com/file/TJ-27.zip","TJ-27.zip")</f>
        <v>TJ-27.zip</v>
      </c>
      <c r="C548" s="8" t="str">
        <f aca="false">HYPERLINK("https://mncourtfraud.com/file/27-CR-19-12466.pdf","27-CR-19-12466")</f>
        <v>27-CR-19-12466</v>
      </c>
      <c r="D548" s="3" t="s">
        <v>334</v>
      </c>
      <c r="E548" s="8" t="str">
        <f aca="false">HYPERLINK("https://mncourtfraud.com/file/MCRO_27-CR-19-12466_Order-Evaluation for Competency to Proceed (Rule 20.01)_2023-12-22_20240430091814.pdf","MCRO_27-CR-19-12466_Order-Evaluation for Competency to Proceed (Rule 20.01)_2023-12-22_20240430091814.pdf")</f>
        <v>MCRO_27-CR-19-12466_Order-Evaluation for Competency to Proceed (Rule 20.01)_2023-12-22_20240430091814.pdf</v>
      </c>
      <c r="F548" s="9" t="n">
        <v>45282</v>
      </c>
      <c r="G548" s="1" t="s">
        <v>450</v>
      </c>
      <c r="H548" s="3" t="s">
        <v>451</v>
      </c>
      <c r="I548" s="3" t="s">
        <v>452</v>
      </c>
    </row>
    <row r="549" customFormat="false" ht="18.7" hidden="false" customHeight="true" outlineLevel="0" collapsed="false">
      <c r="A549" s="1" t="n">
        <v>548</v>
      </c>
      <c r="B549" s="7" t="str">
        <f aca="false">HYPERLINK("https://mncourtfraud.com/file/TJ-27.zip","TJ-27.zip")</f>
        <v>TJ-27.zip</v>
      </c>
      <c r="C549" s="8" t="str">
        <f aca="false">HYPERLINK("https://mncourtfraud.com/file/27-CR-19-19606.pdf","27-CR-19-19606")</f>
        <v>27-CR-19-19606</v>
      </c>
      <c r="D549" s="3" t="s">
        <v>334</v>
      </c>
      <c r="E549" s="8" t="str">
        <f aca="false">HYPERLINK("https://mncourtfraud.com/file/MCRO_27-CR-19-19606_Order-Evaluation for Competency to Proceed (Rule 20.01)_2023-12-22_20240430092033.pdf","MCRO_27-CR-19-19606_Order-Evaluation for Competency to Proceed (Rule 20.01)_2023-12-22_20240430092033.pdf")</f>
        <v>MCRO_27-CR-19-19606_Order-Evaluation for Competency to Proceed (Rule 20.01)_2023-12-22_20240430092033.pdf</v>
      </c>
      <c r="F549" s="9" t="n">
        <v>45282</v>
      </c>
      <c r="G549" s="1" t="s">
        <v>450</v>
      </c>
      <c r="H549" s="3" t="s">
        <v>451</v>
      </c>
      <c r="I549" s="3" t="s">
        <v>452</v>
      </c>
    </row>
    <row r="550" customFormat="false" ht="18.7" hidden="false" customHeight="true" outlineLevel="0" collapsed="false">
      <c r="A550" s="1" t="n">
        <v>549</v>
      </c>
      <c r="B550" s="7" t="str">
        <f aca="false">HYPERLINK("https://mncourtfraud.com/file/TJ-27.zip","TJ-27.zip")</f>
        <v>TJ-27.zip</v>
      </c>
      <c r="C550" s="8" t="str">
        <f aca="false">HYPERLINK("https://mncourtfraud.com/file/27-CR-20-20037.pdf","27-CR-20-20037")</f>
        <v>27-CR-20-20037</v>
      </c>
      <c r="D550" s="3" t="s">
        <v>334</v>
      </c>
      <c r="E550" s="8" t="str">
        <f aca="false">HYPERLINK("https://mncourtfraud.com/file/MCRO_27-CR-20-20037_Order-Evaluation for Competency to Proceed (Rule 20.01)_2023-12-22_20240430090132.pdf","MCRO_27-CR-20-20037_Order-Evaluation for Competency to Proceed (Rule 20.01)_2023-12-22_20240430090132.pdf")</f>
        <v>MCRO_27-CR-20-20037_Order-Evaluation for Competency to Proceed (Rule 20.01)_2023-12-22_20240430090132.pdf</v>
      </c>
      <c r="F550" s="9" t="n">
        <v>45282</v>
      </c>
      <c r="G550" s="1" t="s">
        <v>450</v>
      </c>
      <c r="H550" s="3" t="s">
        <v>451</v>
      </c>
      <c r="I550" s="3" t="s">
        <v>452</v>
      </c>
    </row>
    <row r="551" customFormat="false" ht="18.7" hidden="false" customHeight="true" outlineLevel="0" collapsed="false">
      <c r="A551" s="1" t="n">
        <v>550</v>
      </c>
      <c r="B551" s="7" t="str">
        <f aca="false">HYPERLINK("https://mncourtfraud.com/file/TJ-27.zip","TJ-27.zip")</f>
        <v>TJ-27.zip</v>
      </c>
      <c r="C551" s="8" t="str">
        <f aca="false">HYPERLINK("https://mncourtfraud.com/file/27-CR-20-8926.pdf","27-CR-20-8926")</f>
        <v>27-CR-20-8926</v>
      </c>
      <c r="D551" s="3" t="s">
        <v>334</v>
      </c>
      <c r="E551" s="8" t="str">
        <f aca="false">HYPERLINK("https://mncourtfraud.com/file/MCRO_27-CR-20-8926_Order-Evaluation for Competency to Proceed (Rule 20.01)_2023-12-22_20240430085429.pdf","MCRO_27-CR-20-8926_Order-Evaluation for Competency to Proceed (Rule 20.01)_2023-12-22_20240430085429.pdf")</f>
        <v>MCRO_27-CR-20-8926_Order-Evaluation for Competency to Proceed (Rule 20.01)_2023-12-22_20240430085429.pdf</v>
      </c>
      <c r="F551" s="9" t="n">
        <v>45282</v>
      </c>
      <c r="G551" s="1" t="s">
        <v>450</v>
      </c>
      <c r="H551" s="3" t="s">
        <v>451</v>
      </c>
      <c r="I551" s="3" t="s">
        <v>452</v>
      </c>
    </row>
    <row r="552" customFormat="false" ht="18.7" hidden="false" customHeight="true" outlineLevel="0" collapsed="false">
      <c r="A552" s="1" t="n">
        <v>551</v>
      </c>
      <c r="B552" s="7" t="str">
        <f aca="false">HYPERLINK("https://mncourtfraud.com/file/TJ-27.zip","TJ-27.zip")</f>
        <v>TJ-27.zip</v>
      </c>
      <c r="C552" s="8" t="str">
        <f aca="false">HYPERLINK("https://mncourtfraud.com/file/27-CR-21-19552.pdf","27-CR-21-19552")</f>
        <v>27-CR-21-19552</v>
      </c>
      <c r="D552" s="3" t="s">
        <v>334</v>
      </c>
      <c r="E552" s="8" t="str">
        <f aca="false">HYPERLINK("https://mncourtfraud.com/file/MCRO_27-CR-21-19552_Order-Evaluation for Competency to Proceed (Rule 20.01)_2023-12-22_20240430082835.pdf","MCRO_27-CR-21-19552_Order-Evaluation for Competency to Proceed (Rule 20.01)_2023-12-22_20240430082835.pdf")</f>
        <v>MCRO_27-CR-21-19552_Order-Evaluation for Competency to Proceed (Rule 20.01)_2023-12-22_20240430082835.pdf</v>
      </c>
      <c r="F552" s="9" t="n">
        <v>45282</v>
      </c>
      <c r="G552" s="1" t="s">
        <v>450</v>
      </c>
      <c r="H552" s="3" t="s">
        <v>451</v>
      </c>
      <c r="I552" s="3" t="s">
        <v>452</v>
      </c>
    </row>
    <row r="553" customFormat="false" ht="18.7" hidden="false" customHeight="true" outlineLevel="0" collapsed="false">
      <c r="A553" s="1" t="n">
        <v>552</v>
      </c>
      <c r="B553" s="7" t="str">
        <f aca="false">HYPERLINK("https://mncourtfraud.com/file/TJ-27.zip","TJ-27.zip")</f>
        <v>TJ-27.zip</v>
      </c>
      <c r="C553" s="8" t="str">
        <f aca="false">HYPERLINK("https://mncourtfraud.com/file/27-CR-21-23233.pdf","27-CR-21-23233")</f>
        <v>27-CR-21-23233</v>
      </c>
      <c r="D553" s="3" t="s">
        <v>334</v>
      </c>
      <c r="E553" s="8" t="str">
        <f aca="false">HYPERLINK("https://mncourtfraud.com/file/MCRO_27-CR-21-23233_Order-Evaluation for Competency to Proceed (Rule 20.01)_2023-12-22_20240430084214.pdf","MCRO_27-CR-21-23233_Order-Evaluation for Competency to Proceed (Rule 20.01)_2023-12-22_20240430084214.pdf")</f>
        <v>MCRO_27-CR-21-23233_Order-Evaluation for Competency to Proceed (Rule 20.01)_2023-12-22_20240430084214.pdf</v>
      </c>
      <c r="F553" s="9" t="n">
        <v>45282</v>
      </c>
      <c r="G553" s="1" t="s">
        <v>450</v>
      </c>
      <c r="H553" s="3" t="s">
        <v>451</v>
      </c>
      <c r="I553" s="3" t="s">
        <v>452</v>
      </c>
    </row>
    <row r="554" customFormat="false" ht="18.7" hidden="false" customHeight="true" outlineLevel="0" collapsed="false">
      <c r="A554" s="1" t="n">
        <v>553</v>
      </c>
      <c r="B554" s="7" t="str">
        <f aca="false">HYPERLINK("https://mncourtfraud.com/file/TJ-27.zip","TJ-27.zip")</f>
        <v>TJ-27.zip</v>
      </c>
      <c r="C554" s="8" t="str">
        <f aca="false">HYPERLINK("https://mncourtfraud.com/file/27-CR-22-1165.pdf","27-CR-22-1165")</f>
        <v>27-CR-22-1165</v>
      </c>
      <c r="D554" s="3" t="s">
        <v>334</v>
      </c>
      <c r="E554" s="8" t="str">
        <f aca="false">HYPERLINK("https://mncourtfraud.com/file/MCRO_27-CR-22-1165_Order-Evaluation for Competency to Proceed (Rule 20.01)_2023-12-22_20240429030426.pdf","MCRO_27-CR-22-1165_Order-Evaluation for Competency to Proceed (Rule 20.01)_2023-12-22_20240429030426.pdf")</f>
        <v>MCRO_27-CR-22-1165_Order-Evaluation for Competency to Proceed (Rule 20.01)_2023-12-22_20240429030426.pdf</v>
      </c>
      <c r="F554" s="9" t="n">
        <v>45282</v>
      </c>
      <c r="G554" s="1" t="s">
        <v>450</v>
      </c>
      <c r="H554" s="3" t="s">
        <v>451</v>
      </c>
      <c r="I554" s="3" t="s">
        <v>452</v>
      </c>
    </row>
    <row r="555" customFormat="false" ht="18.7" hidden="false" customHeight="true" outlineLevel="0" collapsed="false">
      <c r="A555" s="1" t="n">
        <v>554</v>
      </c>
      <c r="B555" s="7" t="str">
        <f aca="false">HYPERLINK("https://mncourtfraud.com/file/TJ-27.zip","TJ-27.zip")</f>
        <v>TJ-27.zip</v>
      </c>
      <c r="C555" s="8" t="str">
        <f aca="false">HYPERLINK("https://mncourtfraud.com/file/27-CR-22-4898.pdf","27-CR-22-4898")</f>
        <v>27-CR-22-4898</v>
      </c>
      <c r="D555" s="3" t="s">
        <v>334</v>
      </c>
      <c r="E555" s="8" t="str">
        <f aca="false">HYPERLINK("https://mncourtfraud.com/file/MCRO_27-CR-22-4898_Order-Evaluation for Competency to Proceed (Rule 20.01)_2023-12-22_20240429040216.pdf","MCRO_27-CR-22-4898_Order-Evaluation for Competency to Proceed (Rule 20.01)_2023-12-22_20240429040216.pdf")</f>
        <v>MCRO_27-CR-22-4898_Order-Evaluation for Competency to Proceed (Rule 20.01)_2023-12-22_20240429040216.pdf</v>
      </c>
      <c r="F555" s="9" t="n">
        <v>45282</v>
      </c>
      <c r="G555" s="1" t="s">
        <v>450</v>
      </c>
      <c r="H555" s="3" t="s">
        <v>451</v>
      </c>
      <c r="I555" s="3" t="s">
        <v>452</v>
      </c>
    </row>
    <row r="556" customFormat="false" ht="18.7" hidden="false" customHeight="true" outlineLevel="0" collapsed="false">
      <c r="A556" s="1" t="n">
        <v>555</v>
      </c>
      <c r="B556" s="7" t="str">
        <f aca="false">HYPERLINK("https://mncourtfraud.com/file/TJ-27.zip","TJ-27.zip")</f>
        <v>TJ-27.zip</v>
      </c>
      <c r="C556" s="8" t="str">
        <f aca="false">HYPERLINK("https://mncourtfraud.com/file/27-CR-23-8649.pdf","27-CR-23-8649")</f>
        <v>27-CR-23-8649</v>
      </c>
      <c r="D556" s="3" t="s">
        <v>334</v>
      </c>
      <c r="E556" s="8" t="str">
        <f aca="false">HYPERLINK("https://mncourtfraud.com/file/MCRO_27-CR-23-8649_Order-Evaluation for Competency to Proceed (Rule 20.01)_2023-12-22_20240430073555.pdf","MCRO_27-CR-23-8649_Order-Evaluation for Competency to Proceed (Rule 20.01)_2023-12-22_20240430073555.pdf")</f>
        <v>MCRO_27-CR-23-8649_Order-Evaluation for Competency to Proceed (Rule 20.01)_2023-12-22_20240430073555.pdf</v>
      </c>
      <c r="F556" s="9" t="n">
        <v>45282</v>
      </c>
      <c r="G556" s="1" t="s">
        <v>450</v>
      </c>
      <c r="H556" s="3" t="s">
        <v>451</v>
      </c>
      <c r="I556" s="3" t="s">
        <v>452</v>
      </c>
    </row>
    <row r="557" customFormat="false" ht="18.7" hidden="false" customHeight="true" outlineLevel="0" collapsed="false">
      <c r="A557" s="1" t="n">
        <v>556</v>
      </c>
      <c r="F557" s="9"/>
    </row>
    <row r="558" customFormat="false" ht="18.7" hidden="false" customHeight="true" outlineLevel="0" collapsed="false">
      <c r="A558" s="1" t="n">
        <v>557</v>
      </c>
      <c r="B558" s="7" t="str">
        <f aca="false">HYPERLINK("https://mncourtfraud.com/file/TJ-28.zip","TJ-28.zip")</f>
        <v>TJ-28.zip</v>
      </c>
      <c r="C558" s="8" t="str">
        <f aca="false">HYPERLINK("https://mncourtfraud.com/file/27-CR-22-4898.pdf","27-CR-22-4898")</f>
        <v>27-CR-22-4898</v>
      </c>
      <c r="D558" s="3" t="s">
        <v>334</v>
      </c>
      <c r="E558" s="8" t="str">
        <f aca="false">HYPERLINK("https://mncourtfraud.com/file/MCRO_27-CR-22-4898_Notice of Remote Hearing with Instructions_2024-02-27_20240429040215.pdf","MCRO_27-CR-22-4898_Notice of Remote Hearing with Instructions_2024-02-27_20240429040215.pdf")</f>
        <v>MCRO_27-CR-22-4898_Notice of Remote Hearing with Instructions_2024-02-27_20240429040215.pdf</v>
      </c>
      <c r="F558" s="9" t="n">
        <v>45349</v>
      </c>
      <c r="G558" s="1" t="s">
        <v>453</v>
      </c>
      <c r="H558" s="3" t="s">
        <v>454</v>
      </c>
      <c r="I558" s="3" t="s">
        <v>455</v>
      </c>
    </row>
    <row r="559" customFormat="false" ht="18.7" hidden="false" customHeight="true" outlineLevel="0" collapsed="false">
      <c r="A559" s="1" t="n">
        <v>558</v>
      </c>
      <c r="B559" s="7" t="str">
        <f aca="false">HYPERLINK("https://mncourtfraud.com/file/TJ-28.zip","TJ-28.zip")</f>
        <v>TJ-28.zip</v>
      </c>
      <c r="C559" s="8" t="str">
        <f aca="false">HYPERLINK("https://mncourtfraud.com/file/27-CR-23-8649.pdf","27-CR-23-8649")</f>
        <v>27-CR-23-8649</v>
      </c>
      <c r="D559" s="3" t="s">
        <v>334</v>
      </c>
      <c r="E559" s="8" t="str">
        <f aca="false">HYPERLINK("https://mncourtfraud.com/file/MCRO_27-CR-23-8649_Notice of Remote Hearing with Instructions_2024-02-27_20240430073552.pdf","MCRO_27-CR-23-8649_Notice of Remote Hearing with Instructions_2024-02-27_20240430073552.pdf")</f>
        <v>MCRO_27-CR-23-8649_Notice of Remote Hearing with Instructions_2024-02-27_20240430073552.pdf</v>
      </c>
      <c r="F559" s="9" t="n">
        <v>45349</v>
      </c>
      <c r="G559" s="1" t="s">
        <v>453</v>
      </c>
      <c r="H559" s="3" t="s">
        <v>454</v>
      </c>
      <c r="I559" s="3" t="s">
        <v>455</v>
      </c>
    </row>
    <row r="560" customFormat="false" ht="18.7" hidden="false" customHeight="true" outlineLevel="0" collapsed="false">
      <c r="A560" s="1" t="n">
        <v>559</v>
      </c>
      <c r="F560" s="9"/>
    </row>
    <row r="561" customFormat="false" ht="18.7" hidden="false" customHeight="true" outlineLevel="0" collapsed="false">
      <c r="A561" s="1" t="n">
        <v>560</v>
      </c>
      <c r="B561" s="7" t="str">
        <f aca="false">HYPERLINK("https://mncourtfraud.com/file/TJ-29.zip","TJ-29.zip")</f>
        <v>TJ-29.zip</v>
      </c>
      <c r="C561" s="8" t="str">
        <f aca="false">HYPERLINK("https://mncourtfraud.com/file/27-CR-19-12466.pdf","27-CR-19-12466")</f>
        <v>27-CR-19-12466</v>
      </c>
      <c r="D561" s="3" t="s">
        <v>334</v>
      </c>
      <c r="E561" s="8" t="str">
        <f aca="false">HYPERLINK("https://mncourtfraud.com/file/MCRO_27-CR-19-12466_Notice of Remote Hearing with Instructions_2024-03-05_20240430091810.pdf","MCRO_27-CR-19-12466_Notice of Remote Hearing with Instructions_2024-03-05_20240430091810.pdf")</f>
        <v>MCRO_27-CR-19-12466_Notice of Remote Hearing with Instructions_2024-03-05_20240430091810.pdf</v>
      </c>
      <c r="F561" s="9" t="n">
        <v>45356</v>
      </c>
      <c r="G561" s="1" t="s">
        <v>456</v>
      </c>
      <c r="H561" s="3" t="s">
        <v>457</v>
      </c>
      <c r="I561" s="3" t="s">
        <v>458</v>
      </c>
    </row>
    <row r="562" customFormat="false" ht="18.7" hidden="false" customHeight="true" outlineLevel="0" collapsed="false">
      <c r="A562" s="1" t="n">
        <v>561</v>
      </c>
      <c r="B562" s="7" t="str">
        <f aca="false">HYPERLINK("https://mncourtfraud.com/file/TJ-29.zip","TJ-29.zip")</f>
        <v>TJ-29.zip</v>
      </c>
      <c r="C562" s="8" t="str">
        <f aca="false">HYPERLINK("https://mncourtfraud.com/file/27-CR-19-19606.pdf","27-CR-19-19606")</f>
        <v>27-CR-19-19606</v>
      </c>
      <c r="D562" s="3" t="s">
        <v>334</v>
      </c>
      <c r="E562" s="8" t="str">
        <f aca="false">HYPERLINK("https://mncourtfraud.com/file/MCRO_27-CR-19-19606_Notice of Remote Hearing with Instructions_2024-03-05_20240430092031.pdf","MCRO_27-CR-19-19606_Notice of Remote Hearing with Instructions_2024-03-05_20240430092031.pdf")</f>
        <v>MCRO_27-CR-19-19606_Notice of Remote Hearing with Instructions_2024-03-05_20240430092031.pdf</v>
      </c>
      <c r="F562" s="9" t="n">
        <v>45356</v>
      </c>
      <c r="G562" s="1" t="s">
        <v>456</v>
      </c>
      <c r="H562" s="3" t="s">
        <v>457</v>
      </c>
      <c r="I562" s="3" t="s">
        <v>458</v>
      </c>
    </row>
    <row r="563" customFormat="false" ht="18.7" hidden="false" customHeight="true" outlineLevel="0" collapsed="false">
      <c r="A563" s="1" t="n">
        <v>562</v>
      </c>
      <c r="B563" s="7" t="str">
        <f aca="false">HYPERLINK("https://mncourtfraud.com/file/TJ-29.zip","TJ-29.zip")</f>
        <v>TJ-29.zip</v>
      </c>
      <c r="C563" s="8" t="str">
        <f aca="false">HYPERLINK("https://mncourtfraud.com/file/27-CR-20-20037.pdf","27-CR-20-20037")</f>
        <v>27-CR-20-20037</v>
      </c>
      <c r="D563" s="3" t="s">
        <v>334</v>
      </c>
      <c r="E563" s="8" t="str">
        <f aca="false">HYPERLINK("https://mncourtfraud.com/file/MCRO_27-CR-20-20037_Notice of Remote Hearing with Instructions_2024-03-05_20240430090129.pdf","MCRO_27-CR-20-20037_Notice of Remote Hearing with Instructions_2024-03-05_20240430090129.pdf")</f>
        <v>MCRO_27-CR-20-20037_Notice of Remote Hearing with Instructions_2024-03-05_20240430090129.pdf</v>
      </c>
      <c r="F563" s="9" t="n">
        <v>45356</v>
      </c>
      <c r="G563" s="1" t="s">
        <v>456</v>
      </c>
      <c r="H563" s="3" t="s">
        <v>457</v>
      </c>
      <c r="I563" s="3" t="s">
        <v>458</v>
      </c>
    </row>
    <row r="564" customFormat="false" ht="18.7" hidden="false" customHeight="true" outlineLevel="0" collapsed="false">
      <c r="A564" s="1" t="n">
        <v>563</v>
      </c>
      <c r="B564" s="7" t="str">
        <f aca="false">HYPERLINK("https://mncourtfraud.com/file/TJ-29.zip","TJ-29.zip")</f>
        <v>TJ-29.zip</v>
      </c>
      <c r="C564" s="8" t="str">
        <f aca="false">HYPERLINK("https://mncourtfraud.com/file/27-CR-20-8926.pdf","27-CR-20-8926")</f>
        <v>27-CR-20-8926</v>
      </c>
      <c r="D564" s="3" t="s">
        <v>334</v>
      </c>
      <c r="E564" s="8" t="str">
        <f aca="false">HYPERLINK("https://mncourtfraud.com/file/MCRO_27-CR-20-8926_Notice of Remote Hearing with Instructions_2024-03-05_20240430085427.pdf","MCRO_27-CR-20-8926_Notice of Remote Hearing with Instructions_2024-03-05_20240430085427.pdf")</f>
        <v>MCRO_27-CR-20-8926_Notice of Remote Hearing with Instructions_2024-03-05_20240430085427.pdf</v>
      </c>
      <c r="F564" s="9" t="n">
        <v>45356</v>
      </c>
      <c r="G564" s="1" t="s">
        <v>456</v>
      </c>
      <c r="H564" s="3" t="s">
        <v>457</v>
      </c>
      <c r="I564" s="3" t="s">
        <v>458</v>
      </c>
    </row>
    <row r="565" customFormat="false" ht="18.7" hidden="false" customHeight="true" outlineLevel="0" collapsed="false">
      <c r="A565" s="1" t="n">
        <v>564</v>
      </c>
      <c r="B565" s="7" t="str">
        <f aca="false">HYPERLINK("https://mncourtfraud.com/file/TJ-29.zip","TJ-29.zip")</f>
        <v>TJ-29.zip</v>
      </c>
      <c r="C565" s="8" t="str">
        <f aca="false">HYPERLINK("https://mncourtfraud.com/file/27-CR-21-19552.pdf","27-CR-21-19552")</f>
        <v>27-CR-21-19552</v>
      </c>
      <c r="D565" s="3" t="s">
        <v>334</v>
      </c>
      <c r="E565" s="8" t="str">
        <f aca="false">HYPERLINK("https://mncourtfraud.com/file/MCRO_27-CR-21-19552_Notice of Remote Hearing with Instructions_2024-03-05_20240430082833.pdf","MCRO_27-CR-21-19552_Notice of Remote Hearing with Instructions_2024-03-05_20240430082833.pdf")</f>
        <v>MCRO_27-CR-21-19552_Notice of Remote Hearing with Instructions_2024-03-05_20240430082833.pdf</v>
      </c>
      <c r="F565" s="9" t="n">
        <v>45356</v>
      </c>
      <c r="G565" s="1" t="s">
        <v>456</v>
      </c>
      <c r="H565" s="3" t="s">
        <v>457</v>
      </c>
      <c r="I565" s="3" t="s">
        <v>458</v>
      </c>
    </row>
    <row r="566" customFormat="false" ht="18.7" hidden="false" customHeight="true" outlineLevel="0" collapsed="false">
      <c r="A566" s="1" t="n">
        <v>565</v>
      </c>
      <c r="B566" s="7" t="str">
        <f aca="false">HYPERLINK("https://mncourtfraud.com/file/TJ-29.zip","TJ-29.zip")</f>
        <v>TJ-29.zip</v>
      </c>
      <c r="C566" s="8" t="str">
        <f aca="false">HYPERLINK("https://mncourtfraud.com/file/27-CR-21-23233.pdf","27-CR-21-23233")</f>
        <v>27-CR-21-23233</v>
      </c>
      <c r="D566" s="3" t="s">
        <v>334</v>
      </c>
      <c r="E566" s="8" t="str">
        <f aca="false">HYPERLINK("https://mncourtfraud.com/file/MCRO_27-CR-21-23233_Notice of Remote Hearing with Instructions_2024-03-05_20240430084212.pdf","MCRO_27-CR-21-23233_Notice of Remote Hearing with Instructions_2024-03-05_20240430084212.pdf")</f>
        <v>MCRO_27-CR-21-23233_Notice of Remote Hearing with Instructions_2024-03-05_20240430084212.pdf</v>
      </c>
      <c r="F566" s="9" t="n">
        <v>45356</v>
      </c>
      <c r="G566" s="1" t="s">
        <v>456</v>
      </c>
      <c r="H566" s="3" t="s">
        <v>457</v>
      </c>
      <c r="I566" s="3" t="s">
        <v>458</v>
      </c>
    </row>
    <row r="567" customFormat="false" ht="18.7" hidden="false" customHeight="true" outlineLevel="0" collapsed="false">
      <c r="A567" s="1" t="n">
        <v>566</v>
      </c>
      <c r="B567" s="7" t="str">
        <f aca="false">HYPERLINK("https://mncourtfraud.com/file/TJ-29.zip","TJ-29.zip")</f>
        <v>TJ-29.zip</v>
      </c>
      <c r="C567" s="8" t="str">
        <f aca="false">HYPERLINK("https://mncourtfraud.com/file/27-CR-22-1165.pdf","27-CR-22-1165")</f>
        <v>27-CR-22-1165</v>
      </c>
      <c r="D567" s="3" t="s">
        <v>334</v>
      </c>
      <c r="E567" s="8" t="str">
        <f aca="false">HYPERLINK("https://mncourtfraud.com/file/MCRO_27-CR-22-1165_Notice of Remote Hearing with Instructions_2024-03-05_20240429030425.pdf","MCRO_27-CR-22-1165_Notice of Remote Hearing with Instructions_2024-03-05_20240429030425.pdf")</f>
        <v>MCRO_27-CR-22-1165_Notice of Remote Hearing with Instructions_2024-03-05_20240429030425.pdf</v>
      </c>
      <c r="F567" s="9" t="n">
        <v>45356</v>
      </c>
      <c r="G567" s="1" t="s">
        <v>456</v>
      </c>
      <c r="H567" s="3" t="s">
        <v>457</v>
      </c>
      <c r="I567" s="3" t="s">
        <v>458</v>
      </c>
    </row>
    <row r="568" customFormat="false" ht="18.7" hidden="false" customHeight="true" outlineLevel="0" collapsed="false">
      <c r="A568" s="1" t="n">
        <v>567</v>
      </c>
      <c r="B568" s="7" t="str">
        <f aca="false">HYPERLINK("https://mncourtfraud.com/file/TJ-29.zip","TJ-29.zip")</f>
        <v>TJ-29.zip</v>
      </c>
      <c r="C568" s="8" t="str">
        <f aca="false">HYPERLINK("https://mncourtfraud.com/file/27-CR-22-4898.pdf","27-CR-22-4898")</f>
        <v>27-CR-22-4898</v>
      </c>
      <c r="D568" s="3" t="s">
        <v>334</v>
      </c>
      <c r="E568" s="8" t="str">
        <f aca="false">HYPERLINK("https://mncourtfraud.com/file/MCRO_27-CR-22-4898_Notice of Remote Hearing with Instructions_2024-03-05_20240429040214.pdf","MCRO_27-CR-22-4898_Notice of Remote Hearing with Instructions_2024-03-05_20240429040214.pdf")</f>
        <v>MCRO_27-CR-22-4898_Notice of Remote Hearing with Instructions_2024-03-05_20240429040214.pdf</v>
      </c>
      <c r="F568" s="9" t="n">
        <v>45356</v>
      </c>
      <c r="G568" s="1" t="s">
        <v>456</v>
      </c>
      <c r="H568" s="3" t="s">
        <v>457</v>
      </c>
      <c r="I568" s="3" t="s">
        <v>458</v>
      </c>
    </row>
    <row r="569" customFormat="false" ht="18.7" hidden="false" customHeight="true" outlineLevel="0" collapsed="false">
      <c r="A569" s="1" t="n">
        <v>568</v>
      </c>
      <c r="B569" s="7" t="str">
        <f aca="false">HYPERLINK("https://mncourtfraud.com/file/TJ-29.zip","TJ-29.zip")</f>
        <v>TJ-29.zip</v>
      </c>
      <c r="C569" s="8" t="str">
        <f aca="false">HYPERLINK("https://mncourtfraud.com/file/27-CR-23-8649.pdf","27-CR-23-8649")</f>
        <v>27-CR-23-8649</v>
      </c>
      <c r="D569" s="3" t="s">
        <v>334</v>
      </c>
      <c r="E569" s="8" t="str">
        <f aca="false">HYPERLINK("https://mncourtfraud.com/file/MCRO_27-CR-23-8649_Notice of Remote Hearing with Instructions_2024-03-05_20240430073551.pdf","MCRO_27-CR-23-8649_Notice of Remote Hearing with Instructions_2024-03-05_20240430073551.pdf")</f>
        <v>MCRO_27-CR-23-8649_Notice of Remote Hearing with Instructions_2024-03-05_20240430073551.pdf</v>
      </c>
      <c r="F569" s="9" t="n">
        <v>45356</v>
      </c>
      <c r="G569" s="1" t="s">
        <v>456</v>
      </c>
      <c r="H569" s="3" t="s">
        <v>457</v>
      </c>
      <c r="I569" s="3" t="s">
        <v>458</v>
      </c>
    </row>
    <row r="570" customFormat="false" ht="18.7" hidden="false" customHeight="true" outlineLevel="0" collapsed="false">
      <c r="A570" s="1" t="n">
        <v>569</v>
      </c>
      <c r="F570" s="9"/>
    </row>
    <row r="571" customFormat="false" ht="18.7" hidden="false" customHeight="true" outlineLevel="0" collapsed="false">
      <c r="A571" s="1" t="n">
        <v>570</v>
      </c>
      <c r="B571" s="7" t="str">
        <f aca="false">HYPERLINK("https://mncourtfraud.com/file/TJ-30.zip","TJ-30.zip")</f>
        <v>TJ-30.zip</v>
      </c>
      <c r="C571" s="8" t="str">
        <f aca="false">HYPERLINK("https://mncourtfraud.com/file/27-CR-19-12466.pdf","27-CR-19-12466")</f>
        <v>27-CR-19-12466</v>
      </c>
      <c r="D571" s="3" t="s">
        <v>334</v>
      </c>
      <c r="E571" s="8" t="str">
        <f aca="false">HYPERLINK("https://mncourtfraud.com/file/MCRO_27-CR-19-12466_Notice of Remote Hearing with Instructions_2024-03-12_20240430091808.pdf","MCRO_27-CR-19-12466_Notice of Remote Hearing with Instructions_2024-03-12_20240430091808.pdf")</f>
        <v>MCRO_27-CR-19-12466_Notice of Remote Hearing with Instructions_2024-03-12_20240430091808.pdf</v>
      </c>
      <c r="F571" s="9" t="n">
        <v>45363</v>
      </c>
      <c r="G571" s="1" t="s">
        <v>459</v>
      </c>
      <c r="H571" s="3" t="s">
        <v>460</v>
      </c>
      <c r="I571" s="3" t="s">
        <v>461</v>
      </c>
    </row>
    <row r="572" customFormat="false" ht="18.7" hidden="false" customHeight="true" outlineLevel="0" collapsed="false">
      <c r="A572" s="1" t="n">
        <v>571</v>
      </c>
      <c r="B572" s="7" t="str">
        <f aca="false">HYPERLINK("https://mncourtfraud.com/file/TJ-30.zip","TJ-30.zip")</f>
        <v>TJ-30.zip</v>
      </c>
      <c r="C572" s="8" t="str">
        <f aca="false">HYPERLINK("https://mncourtfraud.com/file/27-CR-19-19606.pdf","27-CR-19-19606")</f>
        <v>27-CR-19-19606</v>
      </c>
      <c r="D572" s="3" t="s">
        <v>334</v>
      </c>
      <c r="E572" s="8" t="str">
        <f aca="false">HYPERLINK("https://mncourtfraud.com/file/MCRO_27-CR-19-19606_Notice of Remote Hearing with Instructions_2024-03-12_20240430092029.pdf","MCRO_27-CR-19-19606_Notice of Remote Hearing with Instructions_2024-03-12_20240430092029.pdf")</f>
        <v>MCRO_27-CR-19-19606_Notice of Remote Hearing with Instructions_2024-03-12_20240430092029.pdf</v>
      </c>
      <c r="F572" s="9" t="n">
        <v>45363</v>
      </c>
      <c r="G572" s="1" t="s">
        <v>459</v>
      </c>
      <c r="H572" s="3" t="s">
        <v>460</v>
      </c>
      <c r="I572" s="3" t="s">
        <v>461</v>
      </c>
    </row>
    <row r="573" customFormat="false" ht="18.7" hidden="false" customHeight="true" outlineLevel="0" collapsed="false">
      <c r="A573" s="1" t="n">
        <v>572</v>
      </c>
      <c r="B573" s="7" t="str">
        <f aca="false">HYPERLINK("https://mncourtfraud.com/file/TJ-30.zip","TJ-30.zip")</f>
        <v>TJ-30.zip</v>
      </c>
      <c r="C573" s="8" t="str">
        <f aca="false">HYPERLINK("https://mncourtfraud.com/file/27-CR-20-20037.pdf","27-CR-20-20037")</f>
        <v>27-CR-20-20037</v>
      </c>
      <c r="D573" s="3" t="s">
        <v>334</v>
      </c>
      <c r="E573" s="8" t="str">
        <f aca="false">HYPERLINK("https://mncourtfraud.com/file/MCRO_27-CR-20-20037_Notice of Remote Hearing with Instructions_2024-03-12_20240430090127.pdf","MCRO_27-CR-20-20037_Notice of Remote Hearing with Instructions_2024-03-12_20240430090127.pdf")</f>
        <v>MCRO_27-CR-20-20037_Notice of Remote Hearing with Instructions_2024-03-12_20240430090127.pdf</v>
      </c>
      <c r="F573" s="9" t="n">
        <v>45363</v>
      </c>
      <c r="G573" s="1" t="s">
        <v>459</v>
      </c>
      <c r="H573" s="3" t="s">
        <v>460</v>
      </c>
      <c r="I573" s="3" t="s">
        <v>461</v>
      </c>
    </row>
    <row r="574" customFormat="false" ht="18.7" hidden="false" customHeight="true" outlineLevel="0" collapsed="false">
      <c r="A574" s="1" t="n">
        <v>573</v>
      </c>
      <c r="B574" s="7" t="str">
        <f aca="false">HYPERLINK("https://mncourtfraud.com/file/TJ-30.zip","TJ-30.zip")</f>
        <v>TJ-30.zip</v>
      </c>
      <c r="C574" s="8" t="str">
        <f aca="false">HYPERLINK("https://mncourtfraud.com/file/27-CR-20-8926.pdf","27-CR-20-8926")</f>
        <v>27-CR-20-8926</v>
      </c>
      <c r="D574" s="3" t="s">
        <v>334</v>
      </c>
      <c r="E574" s="8" t="str">
        <f aca="false">HYPERLINK("https://mncourtfraud.com/file/MCRO_27-CR-20-8926_Notice of Remote Hearing with Instructions_2024-03-12_20240430085425.pdf","MCRO_27-CR-20-8926_Notice of Remote Hearing with Instructions_2024-03-12_20240430085425.pdf")</f>
        <v>MCRO_27-CR-20-8926_Notice of Remote Hearing with Instructions_2024-03-12_20240430085425.pdf</v>
      </c>
      <c r="F574" s="9" t="n">
        <v>45363</v>
      </c>
      <c r="G574" s="1" t="s">
        <v>459</v>
      </c>
      <c r="H574" s="3" t="s">
        <v>460</v>
      </c>
      <c r="I574" s="3" t="s">
        <v>461</v>
      </c>
    </row>
    <row r="575" customFormat="false" ht="18.7" hidden="false" customHeight="true" outlineLevel="0" collapsed="false">
      <c r="A575" s="1" t="n">
        <v>574</v>
      </c>
      <c r="B575" s="7" t="str">
        <f aca="false">HYPERLINK("https://mncourtfraud.com/file/TJ-30.zip","TJ-30.zip")</f>
        <v>TJ-30.zip</v>
      </c>
      <c r="C575" s="8" t="str">
        <f aca="false">HYPERLINK("https://mncourtfraud.com/file/27-CR-21-19552.pdf","27-CR-21-19552")</f>
        <v>27-CR-21-19552</v>
      </c>
      <c r="D575" s="3" t="s">
        <v>334</v>
      </c>
      <c r="E575" s="8" t="str">
        <f aca="false">HYPERLINK("https://mncourtfraud.com/file/MCRO_27-CR-21-19552_Notice of Remote Hearing with Instructions_2024-03-12_20240430082830.pdf","MCRO_27-CR-21-19552_Notice of Remote Hearing with Instructions_2024-03-12_20240430082830.pdf")</f>
        <v>MCRO_27-CR-21-19552_Notice of Remote Hearing with Instructions_2024-03-12_20240430082830.pdf</v>
      </c>
      <c r="F575" s="9" t="n">
        <v>45363</v>
      </c>
      <c r="G575" s="1" t="s">
        <v>459</v>
      </c>
      <c r="H575" s="3" t="s">
        <v>460</v>
      </c>
      <c r="I575" s="3" t="s">
        <v>461</v>
      </c>
    </row>
    <row r="576" customFormat="false" ht="18.7" hidden="false" customHeight="true" outlineLevel="0" collapsed="false">
      <c r="A576" s="1" t="n">
        <v>575</v>
      </c>
      <c r="B576" s="7" t="str">
        <f aca="false">HYPERLINK("https://mncourtfraud.com/file/TJ-30.zip","TJ-30.zip")</f>
        <v>TJ-30.zip</v>
      </c>
      <c r="C576" s="8" t="str">
        <f aca="false">HYPERLINK("https://mncourtfraud.com/file/27-CR-21-23233.pdf","27-CR-21-23233")</f>
        <v>27-CR-21-23233</v>
      </c>
      <c r="D576" s="3" t="s">
        <v>334</v>
      </c>
      <c r="E576" s="8" t="str">
        <f aca="false">HYPERLINK("https://mncourtfraud.com/file/MCRO_27-CR-21-23233_Notice of Remote Hearing with Instructions_2024-03-12_20240430084209.pdf","MCRO_27-CR-21-23233_Notice of Remote Hearing with Instructions_2024-03-12_20240430084209.pdf")</f>
        <v>MCRO_27-CR-21-23233_Notice of Remote Hearing with Instructions_2024-03-12_20240430084209.pdf</v>
      </c>
      <c r="F576" s="9" t="n">
        <v>45363</v>
      </c>
      <c r="G576" s="1" t="s">
        <v>459</v>
      </c>
      <c r="H576" s="3" t="s">
        <v>460</v>
      </c>
      <c r="I576" s="3" t="s">
        <v>461</v>
      </c>
    </row>
    <row r="577" customFormat="false" ht="18.7" hidden="false" customHeight="true" outlineLevel="0" collapsed="false">
      <c r="A577" s="1" t="n">
        <v>576</v>
      </c>
      <c r="B577" s="7" t="str">
        <f aca="false">HYPERLINK("https://mncourtfraud.com/file/TJ-30.zip","TJ-30.zip")</f>
        <v>TJ-30.zip</v>
      </c>
      <c r="C577" s="8" t="str">
        <f aca="false">HYPERLINK("https://mncourtfraud.com/file/27-CR-22-1165.pdf","27-CR-22-1165")</f>
        <v>27-CR-22-1165</v>
      </c>
      <c r="D577" s="3" t="s">
        <v>334</v>
      </c>
      <c r="E577" s="8" t="str">
        <f aca="false">HYPERLINK("https://mncourtfraud.com/file/MCRO_27-CR-22-1165_Notice of Remote Hearing with Instructions_2024-03-12_20240429030423.pdf","MCRO_27-CR-22-1165_Notice of Remote Hearing with Instructions_2024-03-12_20240429030423.pdf")</f>
        <v>MCRO_27-CR-22-1165_Notice of Remote Hearing with Instructions_2024-03-12_20240429030423.pdf</v>
      </c>
      <c r="F577" s="9" t="n">
        <v>45363</v>
      </c>
      <c r="G577" s="1" t="s">
        <v>459</v>
      </c>
      <c r="H577" s="3" t="s">
        <v>460</v>
      </c>
      <c r="I577" s="3" t="s">
        <v>461</v>
      </c>
    </row>
    <row r="578" customFormat="false" ht="18.7" hidden="false" customHeight="true" outlineLevel="0" collapsed="false">
      <c r="A578" s="1" t="n">
        <v>577</v>
      </c>
      <c r="B578" s="7" t="str">
        <f aca="false">HYPERLINK("https://mncourtfraud.com/file/TJ-30.zip","TJ-30.zip")</f>
        <v>TJ-30.zip</v>
      </c>
      <c r="C578" s="8" t="str">
        <f aca="false">HYPERLINK("https://mncourtfraud.com/file/27-CR-22-4898.pdf","27-CR-22-4898")</f>
        <v>27-CR-22-4898</v>
      </c>
      <c r="D578" s="3" t="s">
        <v>334</v>
      </c>
      <c r="E578" s="8" t="str">
        <f aca="false">HYPERLINK("https://mncourtfraud.com/file/MCRO_27-CR-22-4898_Notice of Remote Hearing with Instructions_2024-03-12_20240429040212.pdf","MCRO_27-CR-22-4898_Notice of Remote Hearing with Instructions_2024-03-12_20240429040212.pdf")</f>
        <v>MCRO_27-CR-22-4898_Notice of Remote Hearing with Instructions_2024-03-12_20240429040212.pdf</v>
      </c>
      <c r="F578" s="9" t="n">
        <v>45363</v>
      </c>
      <c r="G578" s="1" t="s">
        <v>459</v>
      </c>
      <c r="H578" s="3" t="s">
        <v>460</v>
      </c>
      <c r="I578" s="3" t="s">
        <v>461</v>
      </c>
    </row>
    <row r="579" customFormat="false" ht="18.7" hidden="false" customHeight="true" outlineLevel="0" collapsed="false">
      <c r="A579" s="1" t="n">
        <v>578</v>
      </c>
      <c r="B579" s="7" t="str">
        <f aca="false">HYPERLINK("https://mncourtfraud.com/file/TJ-30.zip","TJ-30.zip")</f>
        <v>TJ-30.zip</v>
      </c>
      <c r="C579" s="8" t="str">
        <f aca="false">HYPERLINK("https://mncourtfraud.com/file/27-CR-23-8649.pdf","27-CR-23-8649")</f>
        <v>27-CR-23-8649</v>
      </c>
      <c r="D579" s="3" t="s">
        <v>334</v>
      </c>
      <c r="E579" s="8" t="str">
        <f aca="false">HYPERLINK("https://mncourtfraud.com/file/MCRO_27-CR-23-8649_Notice of Remote Hearing with Instructions_2024-03-12_20240430073549.pdf","MCRO_27-CR-23-8649_Notice of Remote Hearing with Instructions_2024-03-12_20240430073549.pdf")</f>
        <v>MCRO_27-CR-23-8649_Notice of Remote Hearing with Instructions_2024-03-12_20240430073549.pdf</v>
      </c>
      <c r="F579" s="9" t="n">
        <v>45363</v>
      </c>
      <c r="G579" s="1" t="s">
        <v>459</v>
      </c>
      <c r="H579" s="3" t="s">
        <v>460</v>
      </c>
      <c r="I579" s="3" t="s">
        <v>461</v>
      </c>
    </row>
    <row r="580" customFormat="false" ht="18.7" hidden="false" customHeight="true" outlineLevel="0" collapsed="false">
      <c r="A580" s="1" t="n">
        <v>579</v>
      </c>
      <c r="F580" s="9"/>
    </row>
    <row r="581" customFormat="false" ht="18.7" hidden="false" customHeight="true" outlineLevel="0" collapsed="false">
      <c r="A581" s="1" t="n">
        <v>580</v>
      </c>
      <c r="B581" s="7" t="str">
        <f aca="false">HYPERLINK("https://mncourtfraud.com/file/TJ-31.zip","TJ-31.zip")</f>
        <v>TJ-31.zip</v>
      </c>
      <c r="C581" s="8" t="str">
        <f aca="false">HYPERLINK("https://mncourtfraud.com/file/27-CR-19-12466.pdf","27-CR-19-12466")</f>
        <v>27-CR-19-12466</v>
      </c>
      <c r="D581" s="3" t="s">
        <v>334</v>
      </c>
      <c r="E581" s="8" t="str">
        <f aca="false">HYPERLINK("https://mncourtfraud.com/file/MCRO_27-CR-19-12466_Notice of Hearing_2024-03-12_20240430091807.pdf","MCRO_27-CR-19-12466_Notice of Hearing_2024-03-12_20240430091807.pdf")</f>
        <v>MCRO_27-CR-19-12466_Notice of Hearing_2024-03-12_20240430091807.pdf</v>
      </c>
      <c r="F581" s="9" t="n">
        <v>45363</v>
      </c>
      <c r="G581" s="1" t="s">
        <v>462</v>
      </c>
      <c r="H581" s="3" t="s">
        <v>463</v>
      </c>
      <c r="I581" s="3" t="s">
        <v>464</v>
      </c>
    </row>
    <row r="582" customFormat="false" ht="18.7" hidden="false" customHeight="true" outlineLevel="0" collapsed="false">
      <c r="A582" s="1" t="n">
        <v>581</v>
      </c>
      <c r="B582" s="7" t="str">
        <f aca="false">HYPERLINK("https://mncourtfraud.com/file/TJ-31.zip","TJ-31.zip")</f>
        <v>TJ-31.zip</v>
      </c>
      <c r="C582" s="8" t="str">
        <f aca="false">HYPERLINK("https://mncourtfraud.com/file/27-CR-19-19606.pdf","27-CR-19-19606")</f>
        <v>27-CR-19-19606</v>
      </c>
      <c r="D582" s="3" t="s">
        <v>334</v>
      </c>
      <c r="E582" s="8" t="str">
        <f aca="false">HYPERLINK("https://mncourtfraud.com/file/MCRO_27-CR-19-19606_Notice of Hearing_2024-03-12_20240430092028.pdf","MCRO_27-CR-19-19606_Notice of Hearing_2024-03-12_20240430092028.pdf")</f>
        <v>MCRO_27-CR-19-19606_Notice of Hearing_2024-03-12_20240430092028.pdf</v>
      </c>
      <c r="F582" s="9" t="n">
        <v>45363</v>
      </c>
      <c r="G582" s="1" t="s">
        <v>462</v>
      </c>
      <c r="H582" s="3" t="s">
        <v>463</v>
      </c>
      <c r="I582" s="3" t="s">
        <v>464</v>
      </c>
    </row>
    <row r="583" customFormat="false" ht="18.7" hidden="false" customHeight="true" outlineLevel="0" collapsed="false">
      <c r="A583" s="1" t="n">
        <v>582</v>
      </c>
      <c r="B583" s="7" t="str">
        <f aca="false">HYPERLINK("https://mncourtfraud.com/file/TJ-31.zip","TJ-31.zip")</f>
        <v>TJ-31.zip</v>
      </c>
      <c r="C583" s="8" t="str">
        <f aca="false">HYPERLINK("https://mncourtfraud.com/file/27-CR-20-20037.pdf","27-CR-20-20037")</f>
        <v>27-CR-20-20037</v>
      </c>
      <c r="D583" s="3" t="s">
        <v>334</v>
      </c>
      <c r="E583" s="8" t="str">
        <f aca="false">HYPERLINK("https://mncourtfraud.com/file/MCRO_27-CR-20-20037_Notice of Hearing_2024-03-12_20240430090126.pdf","MCRO_27-CR-20-20037_Notice of Hearing_2024-03-12_20240430090126.pdf")</f>
        <v>MCRO_27-CR-20-20037_Notice of Hearing_2024-03-12_20240430090126.pdf</v>
      </c>
      <c r="F583" s="9" t="n">
        <v>45363</v>
      </c>
      <c r="G583" s="1" t="s">
        <v>462</v>
      </c>
      <c r="H583" s="3" t="s">
        <v>463</v>
      </c>
      <c r="I583" s="3" t="s">
        <v>464</v>
      </c>
    </row>
    <row r="584" customFormat="false" ht="18.7" hidden="false" customHeight="true" outlineLevel="0" collapsed="false">
      <c r="A584" s="1" t="n">
        <v>583</v>
      </c>
      <c r="B584" s="7" t="str">
        <f aca="false">HYPERLINK("https://mncourtfraud.com/file/TJ-31.zip","TJ-31.zip")</f>
        <v>TJ-31.zip</v>
      </c>
      <c r="C584" s="8" t="str">
        <f aca="false">HYPERLINK("https://mncourtfraud.com/file/27-CR-20-8926.pdf","27-CR-20-8926")</f>
        <v>27-CR-20-8926</v>
      </c>
      <c r="D584" s="3" t="s">
        <v>334</v>
      </c>
      <c r="E584" s="8" t="str">
        <f aca="false">HYPERLINK("https://mncourtfraud.com/file/MCRO_27-CR-20-8926_Notice of Hearing_2024-03-12_20240430085423.pdf","MCRO_27-CR-20-8926_Notice of Hearing_2024-03-12_20240430085423.pdf")</f>
        <v>MCRO_27-CR-20-8926_Notice of Hearing_2024-03-12_20240430085423.pdf</v>
      </c>
      <c r="F584" s="9" t="n">
        <v>45363</v>
      </c>
      <c r="G584" s="1" t="s">
        <v>462</v>
      </c>
      <c r="H584" s="3" t="s">
        <v>463</v>
      </c>
      <c r="I584" s="3" t="s">
        <v>464</v>
      </c>
    </row>
    <row r="585" customFormat="false" ht="18.7" hidden="false" customHeight="true" outlineLevel="0" collapsed="false">
      <c r="A585" s="1" t="n">
        <v>584</v>
      </c>
      <c r="B585" s="7" t="str">
        <f aca="false">HYPERLINK("https://mncourtfraud.com/file/TJ-31.zip","TJ-31.zip")</f>
        <v>TJ-31.zip</v>
      </c>
      <c r="C585" s="8" t="str">
        <f aca="false">HYPERLINK("https://mncourtfraud.com/file/27-CR-21-19552.pdf","27-CR-21-19552")</f>
        <v>27-CR-21-19552</v>
      </c>
      <c r="D585" s="3" t="s">
        <v>334</v>
      </c>
      <c r="E585" s="8" t="str">
        <f aca="false">HYPERLINK("https://mncourtfraud.com/file/MCRO_27-CR-21-19552_Notice of Hearing_2024-03-12_20240430082829.pdf","MCRO_27-CR-21-19552_Notice of Hearing_2024-03-12_20240430082829.pdf")</f>
        <v>MCRO_27-CR-21-19552_Notice of Hearing_2024-03-12_20240430082829.pdf</v>
      </c>
      <c r="F585" s="9" t="n">
        <v>45363</v>
      </c>
      <c r="G585" s="1" t="s">
        <v>462</v>
      </c>
      <c r="H585" s="3" t="s">
        <v>463</v>
      </c>
      <c r="I585" s="3" t="s">
        <v>464</v>
      </c>
    </row>
    <row r="586" customFormat="false" ht="18.7" hidden="false" customHeight="true" outlineLevel="0" collapsed="false">
      <c r="A586" s="1" t="n">
        <v>585</v>
      </c>
      <c r="B586" s="7" t="str">
        <f aca="false">HYPERLINK("https://mncourtfraud.com/file/TJ-31.zip","TJ-31.zip")</f>
        <v>TJ-31.zip</v>
      </c>
      <c r="C586" s="8" t="str">
        <f aca="false">HYPERLINK("https://mncourtfraud.com/file/27-CR-21-23233.pdf","27-CR-21-23233")</f>
        <v>27-CR-21-23233</v>
      </c>
      <c r="D586" s="3" t="s">
        <v>334</v>
      </c>
      <c r="E586" s="8" t="str">
        <f aca="false">HYPERLINK("https://mncourtfraud.com/file/MCRO_27-CR-21-23233_Notice of Hearing_2024-03-12_20240430084208.pdf","MCRO_27-CR-21-23233_Notice of Hearing_2024-03-12_20240430084208.pdf")</f>
        <v>MCRO_27-CR-21-23233_Notice of Hearing_2024-03-12_20240430084208.pdf</v>
      </c>
      <c r="F586" s="9" t="n">
        <v>45363</v>
      </c>
      <c r="G586" s="1" t="s">
        <v>462</v>
      </c>
      <c r="H586" s="3" t="s">
        <v>463</v>
      </c>
      <c r="I586" s="3" t="s">
        <v>464</v>
      </c>
    </row>
    <row r="587" customFormat="false" ht="18.7" hidden="false" customHeight="true" outlineLevel="0" collapsed="false">
      <c r="A587" s="1" t="n">
        <v>586</v>
      </c>
      <c r="B587" s="7" t="str">
        <f aca="false">HYPERLINK("https://mncourtfraud.com/file/TJ-31.zip","TJ-31.zip")</f>
        <v>TJ-31.zip</v>
      </c>
      <c r="C587" s="8" t="str">
        <f aca="false">HYPERLINK("https://mncourtfraud.com/file/27-CR-22-1165.pdf","27-CR-22-1165")</f>
        <v>27-CR-22-1165</v>
      </c>
      <c r="D587" s="3" t="s">
        <v>334</v>
      </c>
      <c r="E587" s="8" t="str">
        <f aca="false">HYPERLINK("https://mncourtfraud.com/file/MCRO_27-CR-22-1165_Notice of Hearing_2024-03-12_20240429030422.pdf","MCRO_27-CR-22-1165_Notice of Hearing_2024-03-12_20240429030422.pdf")</f>
        <v>MCRO_27-CR-22-1165_Notice of Hearing_2024-03-12_20240429030422.pdf</v>
      </c>
      <c r="F587" s="9" t="n">
        <v>45363</v>
      </c>
      <c r="G587" s="1" t="s">
        <v>462</v>
      </c>
      <c r="H587" s="3" t="s">
        <v>463</v>
      </c>
      <c r="I587" s="3" t="s">
        <v>464</v>
      </c>
    </row>
    <row r="588" customFormat="false" ht="18.7" hidden="false" customHeight="true" outlineLevel="0" collapsed="false">
      <c r="A588" s="1" t="n">
        <v>587</v>
      </c>
      <c r="B588" s="7" t="str">
        <f aca="false">HYPERLINK("https://mncourtfraud.com/file/TJ-31.zip","TJ-31.zip")</f>
        <v>TJ-31.zip</v>
      </c>
      <c r="C588" s="8" t="str">
        <f aca="false">HYPERLINK("https://mncourtfraud.com/file/27-CR-22-4898.pdf","27-CR-22-4898")</f>
        <v>27-CR-22-4898</v>
      </c>
      <c r="D588" s="3" t="s">
        <v>334</v>
      </c>
      <c r="E588" s="8" t="str">
        <f aca="false">HYPERLINK("https://mncourtfraud.com/file/MCRO_27-CR-22-4898_Notice of Hearing_2024-03-12_20240429040211.pdf","MCRO_27-CR-22-4898_Notice of Hearing_2024-03-12_20240429040211.pdf")</f>
        <v>MCRO_27-CR-22-4898_Notice of Hearing_2024-03-12_20240429040211.pdf</v>
      </c>
      <c r="F588" s="9" t="n">
        <v>45363</v>
      </c>
      <c r="G588" s="1" t="s">
        <v>462</v>
      </c>
      <c r="H588" s="3" t="s">
        <v>463</v>
      </c>
      <c r="I588" s="3" t="s">
        <v>464</v>
      </c>
    </row>
    <row r="589" customFormat="false" ht="18.7" hidden="false" customHeight="true" outlineLevel="0" collapsed="false">
      <c r="A589" s="1" t="n">
        <v>588</v>
      </c>
      <c r="B589" s="7" t="str">
        <f aca="false">HYPERLINK("https://mncourtfraud.com/file/TJ-31.zip","TJ-31.zip")</f>
        <v>TJ-31.zip</v>
      </c>
      <c r="C589" s="8" t="str">
        <f aca="false">HYPERLINK("https://mncourtfraud.com/file/27-CR-23-8649.pdf","27-CR-23-8649")</f>
        <v>27-CR-23-8649</v>
      </c>
      <c r="D589" s="3" t="s">
        <v>334</v>
      </c>
      <c r="E589" s="8" t="str">
        <f aca="false">HYPERLINK("https://mncourtfraud.com/file/MCRO_27-CR-23-8649_Notice of Hearing_2024-03-12_20240430073548.pdf","MCRO_27-CR-23-8649_Notice of Hearing_2024-03-12_20240430073548.pdf")</f>
        <v>MCRO_27-CR-23-8649_Notice of Hearing_2024-03-12_20240430073548.pdf</v>
      </c>
      <c r="F589" s="9" t="n">
        <v>45363</v>
      </c>
      <c r="G589" s="1" t="s">
        <v>462</v>
      </c>
      <c r="H589" s="3" t="s">
        <v>463</v>
      </c>
      <c r="I589" s="3" t="s">
        <v>464</v>
      </c>
    </row>
    <row r="590" customFormat="false" ht="18.7" hidden="false" customHeight="true" outlineLevel="0" collapsed="false">
      <c r="A590" s="1" t="n">
        <v>589</v>
      </c>
      <c r="F590" s="9"/>
    </row>
    <row r="591" customFormat="false" ht="18.7" hidden="false" customHeight="true" outlineLevel="0" collapsed="false">
      <c r="A591" s="1" t="n">
        <v>590</v>
      </c>
      <c r="B591" s="7" t="str">
        <f aca="false">HYPERLINK("https://mncourtfraud.com/file/TJ-32.zip","TJ-32.zip")</f>
        <v>TJ-32.zip</v>
      </c>
      <c r="C591" s="8" t="str">
        <f aca="false">HYPERLINK("https://mncourtfraud.com/file/27-CR-19-12466.pdf","27-CR-19-12466")</f>
        <v>27-CR-19-12466</v>
      </c>
      <c r="D591" s="3" t="s">
        <v>334</v>
      </c>
      <c r="E591" s="8" t="str">
        <f aca="false">HYPERLINK("https://mncourtfraud.com/file/MCRO_27-CR-19-12466_Finding of Incompetency and Order_2024-03-12_20240430091809.pdf","MCRO_27-CR-19-12466_Finding of Incompetency and Order_2024-03-12_20240430091809.pdf")</f>
        <v>MCRO_27-CR-19-12466_Finding of Incompetency and Order_2024-03-12_20240430091809.pdf</v>
      </c>
      <c r="F591" s="9" t="n">
        <v>45363</v>
      </c>
      <c r="G591" s="1" t="s">
        <v>465</v>
      </c>
      <c r="H591" s="3" t="s">
        <v>466</v>
      </c>
      <c r="I591" s="3" t="s">
        <v>467</v>
      </c>
    </row>
    <row r="592" customFormat="false" ht="18.7" hidden="false" customHeight="true" outlineLevel="0" collapsed="false">
      <c r="A592" s="1" t="n">
        <v>591</v>
      </c>
      <c r="B592" s="7" t="str">
        <f aca="false">HYPERLINK("https://mncourtfraud.com/file/TJ-32.zip","TJ-32.zip")</f>
        <v>TJ-32.zip</v>
      </c>
      <c r="C592" s="8" t="str">
        <f aca="false">HYPERLINK("https://mncourtfraud.com/file/27-CR-19-19606.pdf","27-CR-19-19606")</f>
        <v>27-CR-19-19606</v>
      </c>
      <c r="D592" s="3" t="s">
        <v>334</v>
      </c>
      <c r="E592" s="8" t="str">
        <f aca="false">HYPERLINK("https://mncourtfraud.com/file/MCRO_27-CR-19-19606_Finding of Incompetency and Order_2024-03-12_20240430092030.pdf","MCRO_27-CR-19-19606_Finding of Incompetency and Order_2024-03-12_20240430092030.pdf")</f>
        <v>MCRO_27-CR-19-19606_Finding of Incompetency and Order_2024-03-12_20240430092030.pdf</v>
      </c>
      <c r="F592" s="9" t="n">
        <v>45363</v>
      </c>
      <c r="G592" s="1" t="s">
        <v>465</v>
      </c>
      <c r="H592" s="3" t="s">
        <v>466</v>
      </c>
      <c r="I592" s="3" t="s">
        <v>467</v>
      </c>
    </row>
    <row r="593" customFormat="false" ht="18.7" hidden="false" customHeight="true" outlineLevel="0" collapsed="false">
      <c r="A593" s="1" t="n">
        <v>592</v>
      </c>
      <c r="B593" s="7" t="str">
        <f aca="false">HYPERLINK("https://mncourtfraud.com/file/TJ-32.zip","TJ-32.zip")</f>
        <v>TJ-32.zip</v>
      </c>
      <c r="C593" s="8" t="str">
        <f aca="false">HYPERLINK("https://mncourtfraud.com/file/27-CR-20-20037.pdf","27-CR-20-20037")</f>
        <v>27-CR-20-20037</v>
      </c>
      <c r="D593" s="3" t="s">
        <v>334</v>
      </c>
      <c r="E593" s="8" t="str">
        <f aca="false">HYPERLINK("https://mncourtfraud.com/file/MCRO_27-CR-20-20037_Finding of Incompetency and Order_2024-03-12_20240430090128.pdf","MCRO_27-CR-20-20037_Finding of Incompetency and Order_2024-03-12_20240430090128.pdf")</f>
        <v>MCRO_27-CR-20-20037_Finding of Incompetency and Order_2024-03-12_20240430090128.pdf</v>
      </c>
      <c r="F593" s="9" t="n">
        <v>45363</v>
      </c>
      <c r="G593" s="1" t="s">
        <v>465</v>
      </c>
      <c r="H593" s="3" t="s">
        <v>466</v>
      </c>
      <c r="I593" s="3" t="s">
        <v>467</v>
      </c>
    </row>
    <row r="594" customFormat="false" ht="18.7" hidden="false" customHeight="true" outlineLevel="0" collapsed="false">
      <c r="A594" s="1" t="n">
        <v>593</v>
      </c>
      <c r="B594" s="7" t="str">
        <f aca="false">HYPERLINK("https://mncourtfraud.com/file/TJ-32.zip","TJ-32.zip")</f>
        <v>TJ-32.zip</v>
      </c>
      <c r="C594" s="8" t="str">
        <f aca="false">HYPERLINK("https://mncourtfraud.com/file/27-CR-20-8926.pdf","27-CR-20-8926")</f>
        <v>27-CR-20-8926</v>
      </c>
      <c r="D594" s="3" t="s">
        <v>334</v>
      </c>
      <c r="E594" s="8" t="str">
        <f aca="false">HYPERLINK("https://mncourtfraud.com/file/MCRO_27-CR-20-8926_Finding of Incompetency and Order_2024-03-12_20240430085426.pdf","MCRO_27-CR-20-8926_Finding of Incompetency and Order_2024-03-12_20240430085426.pdf")</f>
        <v>MCRO_27-CR-20-8926_Finding of Incompetency and Order_2024-03-12_20240430085426.pdf</v>
      </c>
      <c r="F594" s="9" t="n">
        <v>45363</v>
      </c>
      <c r="G594" s="1" t="s">
        <v>465</v>
      </c>
      <c r="H594" s="3" t="s">
        <v>466</v>
      </c>
      <c r="I594" s="3" t="s">
        <v>467</v>
      </c>
    </row>
    <row r="595" customFormat="false" ht="18.7" hidden="false" customHeight="true" outlineLevel="0" collapsed="false">
      <c r="A595" s="1" t="n">
        <v>594</v>
      </c>
      <c r="B595" s="7" t="str">
        <f aca="false">HYPERLINK("https://mncourtfraud.com/file/TJ-32.zip","TJ-32.zip")</f>
        <v>TJ-32.zip</v>
      </c>
      <c r="C595" s="8" t="str">
        <f aca="false">HYPERLINK("https://mncourtfraud.com/file/27-CR-21-19552.pdf","27-CR-21-19552")</f>
        <v>27-CR-21-19552</v>
      </c>
      <c r="D595" s="3" t="s">
        <v>334</v>
      </c>
      <c r="E595" s="8" t="str">
        <f aca="false">HYPERLINK("https://mncourtfraud.com/file/MCRO_27-CR-21-19552_Finding of Incompetency and Order_2024-03-12_20240430082832.pdf","MCRO_27-CR-21-19552_Finding of Incompetency and Order_2024-03-12_20240430082832.pdf")</f>
        <v>MCRO_27-CR-21-19552_Finding of Incompetency and Order_2024-03-12_20240430082832.pdf</v>
      </c>
      <c r="F595" s="9" t="n">
        <v>45363</v>
      </c>
      <c r="G595" s="1" t="s">
        <v>465</v>
      </c>
      <c r="H595" s="3" t="s">
        <v>466</v>
      </c>
      <c r="I595" s="3" t="s">
        <v>467</v>
      </c>
    </row>
    <row r="596" customFormat="false" ht="18.7" hidden="false" customHeight="true" outlineLevel="0" collapsed="false">
      <c r="A596" s="1" t="n">
        <v>595</v>
      </c>
      <c r="B596" s="7" t="str">
        <f aca="false">HYPERLINK("https://mncourtfraud.com/file/TJ-32.zip","TJ-32.zip")</f>
        <v>TJ-32.zip</v>
      </c>
      <c r="C596" s="8" t="str">
        <f aca="false">HYPERLINK("https://mncourtfraud.com/file/27-CR-21-23233.pdf","27-CR-21-23233")</f>
        <v>27-CR-21-23233</v>
      </c>
      <c r="D596" s="3" t="s">
        <v>334</v>
      </c>
      <c r="E596" s="8" t="str">
        <f aca="false">HYPERLINK("https://mncourtfraud.com/file/MCRO_27-CR-21-23233_Finding of Incompetency and Order_2024-03-12_20240430084211.pdf","MCRO_27-CR-21-23233_Finding of Incompetency and Order_2024-03-12_20240430084211.pdf")</f>
        <v>MCRO_27-CR-21-23233_Finding of Incompetency and Order_2024-03-12_20240430084211.pdf</v>
      </c>
      <c r="F596" s="9" t="n">
        <v>45363</v>
      </c>
      <c r="G596" s="1" t="s">
        <v>465</v>
      </c>
      <c r="H596" s="3" t="s">
        <v>466</v>
      </c>
      <c r="I596" s="3" t="s">
        <v>467</v>
      </c>
    </row>
    <row r="597" customFormat="false" ht="18.7" hidden="false" customHeight="true" outlineLevel="0" collapsed="false">
      <c r="A597" s="1" t="n">
        <v>596</v>
      </c>
      <c r="B597" s="7" t="str">
        <f aca="false">HYPERLINK("https://mncourtfraud.com/file/TJ-32.zip","TJ-32.zip")</f>
        <v>TJ-32.zip</v>
      </c>
      <c r="C597" s="8" t="str">
        <f aca="false">HYPERLINK("https://mncourtfraud.com/file/27-CR-22-1165.pdf","27-CR-22-1165")</f>
        <v>27-CR-22-1165</v>
      </c>
      <c r="D597" s="3" t="s">
        <v>334</v>
      </c>
      <c r="E597" s="8" t="str">
        <f aca="false">HYPERLINK("https://mncourtfraud.com/file/MCRO_27-CR-22-1165_Finding of Incompetency and Order_2024-03-12_20240429030424.pdf","MCRO_27-CR-22-1165_Finding of Incompetency and Order_2024-03-12_20240429030424.pdf")</f>
        <v>MCRO_27-CR-22-1165_Finding of Incompetency and Order_2024-03-12_20240429030424.pdf</v>
      </c>
      <c r="F597" s="9" t="n">
        <v>45363</v>
      </c>
      <c r="G597" s="1" t="s">
        <v>465</v>
      </c>
      <c r="H597" s="3" t="s">
        <v>466</v>
      </c>
      <c r="I597" s="3" t="s">
        <v>467</v>
      </c>
    </row>
    <row r="598" customFormat="false" ht="18.7" hidden="false" customHeight="true" outlineLevel="0" collapsed="false">
      <c r="A598" s="1" t="n">
        <v>597</v>
      </c>
      <c r="B598" s="7" t="str">
        <f aca="false">HYPERLINK("https://mncourtfraud.com/file/TJ-32.zip","TJ-32.zip")</f>
        <v>TJ-32.zip</v>
      </c>
      <c r="C598" s="8" t="str">
        <f aca="false">HYPERLINK("https://mncourtfraud.com/file/27-CR-22-4898.pdf","27-CR-22-4898")</f>
        <v>27-CR-22-4898</v>
      </c>
      <c r="D598" s="3" t="s">
        <v>334</v>
      </c>
      <c r="E598" s="8" t="str">
        <f aca="false">HYPERLINK("https://mncourtfraud.com/file/MCRO_27-CR-22-4898_Finding of Incompetency and Order_2024-03-12_20240429040213.pdf","MCRO_27-CR-22-4898_Finding of Incompetency and Order_2024-03-12_20240429040213.pdf")</f>
        <v>MCRO_27-CR-22-4898_Finding of Incompetency and Order_2024-03-12_20240429040213.pdf</v>
      </c>
      <c r="F598" s="9" t="n">
        <v>45363</v>
      </c>
      <c r="G598" s="1" t="s">
        <v>465</v>
      </c>
      <c r="H598" s="3" t="s">
        <v>466</v>
      </c>
      <c r="I598" s="3" t="s">
        <v>467</v>
      </c>
    </row>
    <row r="599" customFormat="false" ht="18.7" hidden="false" customHeight="true" outlineLevel="0" collapsed="false">
      <c r="A599" s="1" t="n">
        <v>598</v>
      </c>
      <c r="B599" s="7" t="str">
        <f aca="false">HYPERLINK("https://mncourtfraud.com/file/TJ-32.zip","TJ-32.zip")</f>
        <v>TJ-32.zip</v>
      </c>
      <c r="C599" s="8" t="str">
        <f aca="false">HYPERLINK("https://mncourtfraud.com/file/27-CR-23-8649.pdf","27-CR-23-8649")</f>
        <v>27-CR-23-8649</v>
      </c>
      <c r="D599" s="3" t="s">
        <v>334</v>
      </c>
      <c r="E599" s="8" t="str">
        <f aca="false">HYPERLINK("https://mncourtfraud.com/file/MCRO_27-CR-23-8649_Finding of Incompetency and Order_2024-03-12_20240430073550.pdf","MCRO_27-CR-23-8649_Finding of Incompetency and Order_2024-03-12_20240430073550.pdf")</f>
        <v>MCRO_27-CR-23-8649_Finding of Incompetency and Order_2024-03-12_20240430073550.pdf</v>
      </c>
      <c r="F599" s="9" t="n">
        <v>45363</v>
      </c>
      <c r="G599" s="1" t="s">
        <v>465</v>
      </c>
      <c r="H599" s="3" t="s">
        <v>466</v>
      </c>
      <c r="I599" s="3" t="s">
        <v>467</v>
      </c>
    </row>
    <row r="600" customFormat="false" ht="18.7" hidden="false" customHeight="true" outlineLevel="0" collapsed="false">
      <c r="A600" s="1" t="n">
        <v>599</v>
      </c>
    </row>
    <row r="601" customFormat="false" ht="18.7" hidden="false" customHeight="true" outlineLevel="0" collapsed="false">
      <c r="A601" s="1" t="n">
        <v>600</v>
      </c>
    </row>
    <row r="602" customFormat="false" ht="18.7" hidden="false" customHeight="true" outlineLevel="0" collapsed="false">
      <c r="A602" s="1" t="n">
        <v>601</v>
      </c>
      <c r="B602" s="7" t="str">
        <f aca="false">HYPERLINK("https://mncourtfraud.com/file/MDL-1.zip","MDL-1.zip")</f>
        <v>MDL-1.zip</v>
      </c>
      <c r="C602" s="8" t="str">
        <f aca="false">HYPERLINK("https://mncourtfraud.com/file/27-CR-21-1230.pdf","27-CR-21-1230")</f>
        <v>27-CR-21-1230</v>
      </c>
      <c r="D602" s="3" t="s">
        <v>468</v>
      </c>
      <c r="E602" s="8" t="str">
        <f aca="false">HYPERLINK("https://mncourtfraud.com/file/MCRO_27-CR-21-1230_Demand or Request for Discovery_2021-01-25_20240430075455.pdf","MCRO_27-CR-21-1230_Demand or Request for Discovery_2021-01-25_20240430075455.pdf")</f>
        <v>MCRO_27-CR-21-1230_Demand or Request for Discovery_2021-01-25_20240430075455.pdf</v>
      </c>
      <c r="F602" s="9" t="n">
        <v>44221</v>
      </c>
      <c r="G602" s="1" t="s">
        <v>16</v>
      </c>
      <c r="H602" s="3" t="s">
        <v>17</v>
      </c>
      <c r="I602" s="3" t="s">
        <v>469</v>
      </c>
    </row>
    <row r="603" customFormat="false" ht="18.7" hidden="false" customHeight="true" outlineLevel="0" collapsed="false">
      <c r="A603" s="1" t="n">
        <v>602</v>
      </c>
      <c r="B603" s="7" t="str">
        <f aca="false">HYPERLINK("https://mncourtfraud.com/file/MDL-1.zip","MDL-1.zip")</f>
        <v>MDL-1.zip</v>
      </c>
      <c r="C603" s="8" t="str">
        <f aca="false">HYPERLINK("https://mncourtfraud.com/file/27-CR-21-13752.pdf","27-CR-21-13752")</f>
        <v>27-CR-21-13752</v>
      </c>
      <c r="D603" s="3" t="s">
        <v>468</v>
      </c>
      <c r="E603" s="8" t="str">
        <f aca="false">HYPERLINK("https://mncourtfraud.com/file/MCRO_27-CR-21-13752_Demand or Request for Discovery_2021-08-02_20240430082359.pdf","MCRO_27-CR-21-13752_Demand or Request for Discovery_2021-08-02_20240430082359.pdf")</f>
        <v>MCRO_27-CR-21-13752_Demand or Request for Discovery_2021-08-02_20240430082359.pdf</v>
      </c>
      <c r="F603" s="9" t="n">
        <v>44410</v>
      </c>
      <c r="G603" s="1" t="s">
        <v>16</v>
      </c>
      <c r="H603" s="3" t="s">
        <v>17</v>
      </c>
      <c r="I603" s="3" t="s">
        <v>470</v>
      </c>
    </row>
    <row r="604" customFormat="false" ht="18.7" hidden="false" customHeight="true" outlineLevel="0" collapsed="false">
      <c r="A604" s="1" t="n">
        <v>603</v>
      </c>
      <c r="F604" s="9"/>
    </row>
    <row r="605" customFormat="false" ht="18.7" hidden="false" customHeight="true" outlineLevel="0" collapsed="false">
      <c r="A605" s="1" t="n">
        <v>604</v>
      </c>
      <c r="B605" s="7" t="str">
        <f aca="false">HYPERLINK("https://mncourtfraud.com/file/MDL-2.zip","MDL-2.zip")</f>
        <v>MDL-2.zip</v>
      </c>
      <c r="C605" s="8" t="str">
        <f aca="false">HYPERLINK("https://mncourtfraud.com/file/27-CR-19-11566.pdf","27-CR-19-11566")</f>
        <v>27-CR-19-11566</v>
      </c>
      <c r="D605" s="3" t="s">
        <v>468</v>
      </c>
      <c r="E605" s="8" t="str">
        <f aca="false">HYPERLINK("https://mncourtfraud.com/file/MCRO_27-CR-19-11566_Pandemic Notice of Cancelled or Rescheduled Hearing_2020-04-29_20240430091630.pdf","MCRO_27-CR-19-11566_Pandemic Notice of Cancelled or Rescheduled Hearing_2020-04-29_20240430091630.pdf")</f>
        <v>MCRO_27-CR-19-11566_Pandemic Notice of Cancelled or Rescheduled Hearing_2020-04-29_20240430091630.pdf</v>
      </c>
      <c r="F605" s="9" t="n">
        <v>43950</v>
      </c>
      <c r="G605" s="1" t="s">
        <v>471</v>
      </c>
      <c r="H605" s="3" t="s">
        <v>472</v>
      </c>
      <c r="I605" s="3" t="s">
        <v>473</v>
      </c>
    </row>
    <row r="606" customFormat="false" ht="18.7" hidden="false" customHeight="true" outlineLevel="0" collapsed="false">
      <c r="A606" s="1" t="n">
        <v>605</v>
      </c>
      <c r="B606" s="7" t="str">
        <f aca="false">HYPERLINK("https://mncourtfraud.com/file/MDL-2.zip","MDL-2.zip")</f>
        <v>MDL-2.zip</v>
      </c>
      <c r="C606" s="8" t="str">
        <f aca="false">HYPERLINK("https://mncourtfraud.com/file/27-CR-19-12130.pdf","27-CR-19-12130")</f>
        <v>27-CR-19-12130</v>
      </c>
      <c r="D606" s="3" t="s">
        <v>468</v>
      </c>
      <c r="E606" s="8" t="str">
        <f aca="false">HYPERLINK("https://mncourtfraud.com/file/MCRO_27-CR-19-12130_Pandemic Notice of Cancelled or Rescheduled Hearing_2020-04-29_20240430091735.pdf","MCRO_27-CR-19-12130_Pandemic Notice of Cancelled or Rescheduled Hearing_2020-04-29_20240430091735.pdf")</f>
        <v>MCRO_27-CR-19-12130_Pandemic Notice of Cancelled or Rescheduled Hearing_2020-04-29_20240430091735.pdf</v>
      </c>
      <c r="F606" s="9" t="n">
        <v>43950</v>
      </c>
      <c r="G606" s="1" t="s">
        <v>471</v>
      </c>
      <c r="H606" s="3" t="s">
        <v>472</v>
      </c>
      <c r="I606" s="3" t="s">
        <v>473</v>
      </c>
    </row>
    <row r="607" customFormat="false" ht="18.7" hidden="false" customHeight="true" outlineLevel="0" collapsed="false">
      <c r="A607" s="1" t="n">
        <v>606</v>
      </c>
      <c r="F607" s="9"/>
    </row>
    <row r="608" customFormat="false" ht="18.7" hidden="false" customHeight="true" outlineLevel="0" collapsed="false">
      <c r="A608" s="1" t="n">
        <v>607</v>
      </c>
      <c r="B608" s="7" t="str">
        <f aca="false">HYPERLINK("https://mncourtfraud.com/file/MDL-3.zip","MDL-3.zip")</f>
        <v>MDL-3.zip</v>
      </c>
      <c r="C608" s="8" t="str">
        <f aca="false">HYPERLINK("https://mncourtfraud.com/file/27-CR-19-11566.pdf","27-CR-19-11566")</f>
        <v>27-CR-19-11566</v>
      </c>
      <c r="D608" s="3" t="s">
        <v>468</v>
      </c>
      <c r="E608" s="8" t="str">
        <f aca="false">HYPERLINK("https://mncourtfraud.com/file/MCRO_27-CR-19-11566_Pandemic Notice of Cancelled or Rescheduled Hearing_2020-05-19_20240430091629.pdf","MCRO_27-CR-19-11566_Pandemic Notice of Cancelled or Rescheduled Hearing_2020-05-19_20240430091629.pdf")</f>
        <v>MCRO_27-CR-19-11566_Pandemic Notice of Cancelled or Rescheduled Hearing_2020-05-19_20240430091629.pdf</v>
      </c>
      <c r="F608" s="9" t="n">
        <v>43970</v>
      </c>
      <c r="G608" s="1" t="s">
        <v>474</v>
      </c>
      <c r="H608" s="3" t="s">
        <v>475</v>
      </c>
      <c r="I608" s="3" t="s">
        <v>476</v>
      </c>
    </row>
    <row r="609" customFormat="false" ht="18.7" hidden="false" customHeight="true" outlineLevel="0" collapsed="false">
      <c r="A609" s="1" t="n">
        <v>608</v>
      </c>
      <c r="B609" s="7" t="str">
        <f aca="false">HYPERLINK("https://mncourtfraud.com/file/MDL-3.zip","MDL-3.zip")</f>
        <v>MDL-3.zip</v>
      </c>
      <c r="C609" s="8" t="str">
        <f aca="false">HYPERLINK("https://mncourtfraud.com/file/27-CR-19-12130.pdf","27-CR-19-12130")</f>
        <v>27-CR-19-12130</v>
      </c>
      <c r="D609" s="3" t="s">
        <v>468</v>
      </c>
      <c r="E609" s="8" t="str">
        <f aca="false">HYPERLINK("https://mncourtfraud.com/file/MCRO_27-CR-19-12130_Pandemic Notice of Cancelled or Rescheduled Hearing_2020-05-19_20240430091734.pdf","MCRO_27-CR-19-12130_Pandemic Notice of Cancelled or Rescheduled Hearing_2020-05-19_20240430091734.pdf")</f>
        <v>MCRO_27-CR-19-12130_Pandemic Notice of Cancelled or Rescheduled Hearing_2020-05-19_20240430091734.pdf</v>
      </c>
      <c r="F609" s="9" t="n">
        <v>43970</v>
      </c>
      <c r="G609" s="1" t="s">
        <v>474</v>
      </c>
      <c r="H609" s="3" t="s">
        <v>475</v>
      </c>
      <c r="I609" s="3" t="s">
        <v>476</v>
      </c>
    </row>
    <row r="610" customFormat="false" ht="18.7" hidden="false" customHeight="true" outlineLevel="0" collapsed="false">
      <c r="A610" s="1" t="n">
        <v>609</v>
      </c>
      <c r="F610" s="9"/>
    </row>
    <row r="611" customFormat="false" ht="18.7" hidden="false" customHeight="true" outlineLevel="0" collapsed="false">
      <c r="A611" s="1" t="n">
        <v>610</v>
      </c>
      <c r="B611" s="7" t="str">
        <f aca="false">HYPERLINK("https://mncourtfraud.com/file/MDL-4.zip","MDL-4.zip")</f>
        <v>MDL-4.zip</v>
      </c>
      <c r="C611" s="8" t="str">
        <f aca="false">HYPERLINK("https://mncourtfraud.com/file/27-CR-19-11566.pdf","27-CR-19-11566")</f>
        <v>27-CR-19-11566</v>
      </c>
      <c r="D611" s="3" t="s">
        <v>468</v>
      </c>
      <c r="E611" s="8" t="str">
        <f aca="false">HYPERLINK("https://mncourtfraud.com/file/MCRO_27-CR-19-11566_Notice of Remote Hearing with Instructions_2020-11-25_20240430091626.pdf","MCRO_27-CR-19-11566_Notice of Remote Hearing with Instructions_2020-11-25_20240430091626.pdf")</f>
        <v>MCRO_27-CR-19-11566_Notice of Remote Hearing with Instructions_2020-11-25_20240430091626.pdf</v>
      </c>
      <c r="F611" s="9" t="n">
        <v>44160</v>
      </c>
      <c r="G611" s="1" t="s">
        <v>477</v>
      </c>
      <c r="H611" s="3" t="s">
        <v>478</v>
      </c>
      <c r="I611" s="3" t="s">
        <v>479</v>
      </c>
    </row>
    <row r="612" customFormat="false" ht="18.7" hidden="false" customHeight="true" outlineLevel="0" collapsed="false">
      <c r="A612" s="1" t="n">
        <v>611</v>
      </c>
      <c r="B612" s="7" t="str">
        <f aca="false">HYPERLINK("https://mncourtfraud.com/file/MDL-4.zip","MDL-4.zip")</f>
        <v>MDL-4.zip</v>
      </c>
      <c r="C612" s="8" t="str">
        <f aca="false">HYPERLINK("https://mncourtfraud.com/file/27-CR-19-12130.pdf","27-CR-19-12130")</f>
        <v>27-CR-19-12130</v>
      </c>
      <c r="D612" s="3" t="s">
        <v>468</v>
      </c>
      <c r="E612" s="8" t="str">
        <f aca="false">HYPERLINK("https://mncourtfraud.com/file/MCRO_27-CR-19-12130_Notice of Remote Hearing with Instructions_2020-11-25_20240430091730.pdf","MCRO_27-CR-19-12130_Notice of Remote Hearing with Instructions_2020-11-25_20240430091730.pdf")</f>
        <v>MCRO_27-CR-19-12130_Notice of Remote Hearing with Instructions_2020-11-25_20240430091730.pdf</v>
      </c>
      <c r="F612" s="9" t="n">
        <v>44160</v>
      </c>
      <c r="G612" s="1" t="s">
        <v>477</v>
      </c>
      <c r="H612" s="3" t="s">
        <v>478</v>
      </c>
      <c r="I612" s="3" t="s">
        <v>479</v>
      </c>
    </row>
    <row r="613" customFormat="false" ht="18.7" hidden="false" customHeight="true" outlineLevel="0" collapsed="false">
      <c r="A613" s="1" t="n">
        <v>612</v>
      </c>
      <c r="F613" s="9"/>
    </row>
    <row r="614" customFormat="false" ht="18.7" hidden="false" customHeight="true" outlineLevel="0" collapsed="false">
      <c r="A614" s="1" t="n">
        <v>613</v>
      </c>
      <c r="B614" s="7" t="str">
        <f aca="false">HYPERLINK("https://mncourtfraud.com/file/MDL-5.zip","MDL-5.zip")</f>
        <v>MDL-5.zip</v>
      </c>
      <c r="C614" s="8" t="str">
        <f aca="false">HYPERLINK("https://mncourtfraud.com/file/27-CR-19-11566.pdf","27-CR-19-11566")</f>
        <v>27-CR-19-11566</v>
      </c>
      <c r="D614" s="3" t="s">
        <v>468</v>
      </c>
      <c r="E614" s="8" t="str">
        <f aca="false">HYPERLINK("https://mncourtfraud.com/file/MCRO_27-CR-19-11566_Returned Mail_2021-09-08_20240430091618.pdf","MCRO_27-CR-19-11566_Returned Mail_2021-09-08_20240430091618.pdf")</f>
        <v>MCRO_27-CR-19-11566_Returned Mail_2021-09-08_20240430091618.pdf</v>
      </c>
      <c r="F614" s="9" t="n">
        <v>44447</v>
      </c>
      <c r="G614" s="1" t="s">
        <v>480</v>
      </c>
      <c r="H614" s="3" t="s">
        <v>481</v>
      </c>
      <c r="I614" s="3" t="s">
        <v>482</v>
      </c>
    </row>
    <row r="615" customFormat="false" ht="18.7" hidden="false" customHeight="true" outlineLevel="0" collapsed="false">
      <c r="A615" s="1" t="n">
        <v>614</v>
      </c>
      <c r="B615" s="7" t="str">
        <f aca="false">HYPERLINK("https://mncourtfraud.com/file/MDL-5.zip","MDL-5.zip")</f>
        <v>MDL-5.zip</v>
      </c>
      <c r="C615" s="8" t="str">
        <f aca="false">HYPERLINK("https://mncourtfraud.com/file/27-CR-21-13752.pdf","27-CR-21-13752")</f>
        <v>27-CR-21-13752</v>
      </c>
      <c r="D615" s="3" t="s">
        <v>468</v>
      </c>
      <c r="E615" s="8" t="str">
        <f aca="false">HYPERLINK("https://mncourtfraud.com/file/MCRO_27-CR-21-13752_Returned Mail_2021-09-08_20240430082356.pdf","MCRO_27-CR-21-13752_Returned Mail_2021-09-08_20240430082356.pdf")</f>
        <v>MCRO_27-CR-21-13752_Returned Mail_2021-09-08_20240430082356.pdf</v>
      </c>
      <c r="F615" s="9" t="n">
        <v>44447</v>
      </c>
      <c r="G615" s="1" t="s">
        <v>480</v>
      </c>
      <c r="H615" s="3" t="s">
        <v>481</v>
      </c>
      <c r="I615" s="3" t="s">
        <v>482</v>
      </c>
    </row>
    <row r="616" customFormat="false" ht="18.7" hidden="false" customHeight="true" outlineLevel="0" collapsed="false">
      <c r="A616" s="1" t="n">
        <v>615</v>
      </c>
      <c r="F616" s="9"/>
    </row>
    <row r="617" customFormat="false" ht="18.7" hidden="false" customHeight="true" outlineLevel="0" collapsed="false">
      <c r="A617" s="1" t="n">
        <v>616</v>
      </c>
      <c r="B617" s="7" t="str">
        <f aca="false">HYPERLINK("https://mncourtfraud.com/file/MDL-6.zip","MDL-6.zip")</f>
        <v>MDL-6.zip</v>
      </c>
      <c r="C617" s="8" t="str">
        <f aca="false">HYPERLINK("https://mncourtfraud.com/file/27-CR-20-20851.pdf","27-CR-20-20851")</f>
        <v>27-CR-20-20851</v>
      </c>
      <c r="D617" s="3" t="s">
        <v>483</v>
      </c>
      <c r="E617" s="8" t="str">
        <f aca="false">HYPERLINK("https://mncourtfraud.com/file/MCRO_27-CR-20-20851_Notice of Remote Hearing with Instructions_2022-06-06_20240430090338.pdf","MCRO_27-CR-20-20851_Notice of Remote Hearing with Instructions_2022-06-06_20240430090338.pdf")</f>
        <v>MCRO_27-CR-20-20851_Notice of Remote Hearing with Instructions_2022-06-06_20240430090338.pdf</v>
      </c>
      <c r="F617" s="9" t="n">
        <v>44718</v>
      </c>
      <c r="G617" s="1" t="s">
        <v>484</v>
      </c>
      <c r="H617" s="3" t="s">
        <v>485</v>
      </c>
      <c r="I617" s="3" t="s">
        <v>486</v>
      </c>
    </row>
    <row r="618" customFormat="false" ht="18.7" hidden="false" customHeight="true" outlineLevel="0" collapsed="false">
      <c r="A618" s="1" t="n">
        <v>617</v>
      </c>
      <c r="B618" s="7" t="str">
        <f aca="false">HYPERLINK("https://mncourtfraud.com/file/MDL-6.zip","MDL-6.zip")</f>
        <v>MDL-6.zip</v>
      </c>
      <c r="C618" s="8" t="str">
        <f aca="false">HYPERLINK("https://mncourtfraud.com/file/27-CR-22-10055.pdf","27-CR-22-10055")</f>
        <v>27-CR-22-10055</v>
      </c>
      <c r="D618" s="3" t="s">
        <v>487</v>
      </c>
      <c r="E618" s="8" t="str">
        <f aca="false">HYPERLINK("https://mncourtfraud.com/file/MCRO_27-CR-22-10055_Notice of Remote Hearing with Instructions_2022-06-06_20240429152802.pdf","MCRO_27-CR-22-10055_Notice of Remote Hearing with Instructions_2022-06-06_20240429152802.pdf")</f>
        <v>MCRO_27-CR-22-10055_Notice of Remote Hearing with Instructions_2022-06-06_20240429152802.pdf</v>
      </c>
      <c r="F618" s="9" t="n">
        <v>44718</v>
      </c>
      <c r="G618" s="1" t="s">
        <v>484</v>
      </c>
      <c r="H618" s="3" t="s">
        <v>485</v>
      </c>
      <c r="I618" s="3" t="s">
        <v>486</v>
      </c>
    </row>
    <row r="619" customFormat="false" ht="18.7" hidden="false" customHeight="true" outlineLevel="0" collapsed="false">
      <c r="A619" s="1" t="n">
        <v>618</v>
      </c>
      <c r="F619" s="9"/>
    </row>
    <row r="620" customFormat="false" ht="18.7" hidden="false" customHeight="true" outlineLevel="0" collapsed="false">
      <c r="A620" s="1" t="n">
        <v>619</v>
      </c>
      <c r="B620" s="7" t="str">
        <f aca="false">HYPERLINK("https://mncourtfraud.com/file/MDL-7.zip","MDL-7.zip")</f>
        <v>MDL-7.zip</v>
      </c>
      <c r="C620" s="8" t="str">
        <f aca="false">HYPERLINK("https://mncourtfraud.com/file/27-CR-21-13752.pdf","27-CR-21-13752")</f>
        <v>27-CR-21-13752</v>
      </c>
      <c r="D620" s="3" t="s">
        <v>468</v>
      </c>
      <c r="E620" s="8" t="str">
        <f aca="false">HYPERLINK("https://mncourtfraud.com/file/MCRO_27-CR-21-13752_Order Revoking Interim Conditions of Release_2022-06-23_20240430082350.pdf","MCRO_27-CR-21-13752_Order Revoking Interim Conditions of Release_2022-06-23_20240430082350.pdf")</f>
        <v>MCRO_27-CR-21-13752_Order Revoking Interim Conditions of Release_2022-06-23_20240430082350.pdf</v>
      </c>
      <c r="F620" s="9" t="n">
        <v>44735</v>
      </c>
      <c r="G620" s="1" t="s">
        <v>488</v>
      </c>
      <c r="H620" s="3" t="s">
        <v>489</v>
      </c>
      <c r="I620" s="3" t="s">
        <v>490</v>
      </c>
    </row>
    <row r="621" customFormat="false" ht="18.7" hidden="false" customHeight="true" outlineLevel="0" collapsed="false">
      <c r="A621" s="1" t="n">
        <v>620</v>
      </c>
      <c r="B621" s="7" t="str">
        <f aca="false">HYPERLINK("https://mncourtfraud.com/file/MDL-7.zip","MDL-7.zip")</f>
        <v>MDL-7.zip</v>
      </c>
      <c r="C621" s="8" t="str">
        <f aca="false">HYPERLINK("https://mncourtfraud.com/file/27-CR-21-13752.pdf","27-CR-21-13752")</f>
        <v>27-CR-21-13752</v>
      </c>
      <c r="D621" s="3" t="s">
        <v>468</v>
      </c>
      <c r="E621" s="8" t="str">
        <f aca="false">HYPERLINK("https://mncourtfraud.com/file/MCRO_27-CR-21-13752_Proposed Order or Document_2022-06-23_20240430082351.pdf","MCRO_27-CR-21-13752_Proposed Order or Document_2022-06-23_20240430082351.pdf")</f>
        <v>MCRO_27-CR-21-13752_Proposed Order or Document_2022-06-23_20240430082351.pdf</v>
      </c>
      <c r="F621" s="9" t="n">
        <v>44735</v>
      </c>
      <c r="G621" s="1" t="s">
        <v>488</v>
      </c>
      <c r="H621" s="3" t="s">
        <v>489</v>
      </c>
      <c r="I621" s="3" t="s">
        <v>491</v>
      </c>
    </row>
    <row r="622" customFormat="false" ht="18.7" hidden="false" customHeight="true" outlineLevel="0" collapsed="false">
      <c r="A622" s="1" t="n">
        <v>621</v>
      </c>
      <c r="F622" s="9"/>
    </row>
    <row r="623" customFormat="false" ht="18.7" hidden="false" customHeight="true" outlineLevel="0" collapsed="false">
      <c r="A623" s="1" t="n">
        <v>622</v>
      </c>
      <c r="B623" s="7" t="str">
        <f aca="false">HYPERLINK("https://mncourtfraud.com/file/MDL-8.zip","MDL-8.zip")</f>
        <v>MDL-8.zip</v>
      </c>
      <c r="C623" s="8" t="str">
        <f aca="false">HYPERLINK("https://mncourtfraud.com/file/27-CR-21-1230.pdf","27-CR-21-1230")</f>
        <v>27-CR-21-1230</v>
      </c>
      <c r="D623" s="3" t="s">
        <v>468</v>
      </c>
      <c r="E623" s="8" t="str">
        <f aca="false">HYPERLINK("https://mncourtfraud.com/file/MCRO_27-CR-21-1230_Order Revoking Interim Conditions of Release_2022-06-23_20240430075440.pdf","MCRO_27-CR-21-1230_Order Revoking Interim Conditions of Release_2022-06-23_20240430075440.pdf")</f>
        <v>MCRO_27-CR-21-1230_Order Revoking Interim Conditions of Release_2022-06-23_20240430075440.pdf</v>
      </c>
      <c r="F623" s="9" t="n">
        <v>44735</v>
      </c>
      <c r="G623" s="1" t="s">
        <v>492</v>
      </c>
      <c r="H623" s="3" t="s">
        <v>493</v>
      </c>
      <c r="I623" s="3" t="s">
        <v>494</v>
      </c>
    </row>
    <row r="624" customFormat="false" ht="18.7" hidden="false" customHeight="true" outlineLevel="0" collapsed="false">
      <c r="A624" s="1" t="n">
        <v>623</v>
      </c>
      <c r="B624" s="7" t="str">
        <f aca="false">HYPERLINK("https://mncourtfraud.com/file/MDL-8.zip","MDL-8.zip")</f>
        <v>MDL-8.zip</v>
      </c>
      <c r="C624" s="8" t="str">
        <f aca="false">HYPERLINK("https://mncourtfraud.com/file/27-CR-21-1230.pdf","27-CR-21-1230")</f>
        <v>27-CR-21-1230</v>
      </c>
      <c r="D624" s="3" t="s">
        <v>468</v>
      </c>
      <c r="E624" s="8" t="str">
        <f aca="false">HYPERLINK("https://mncourtfraud.com/file/MCRO_27-CR-21-1230_Proposed Order or Document_2022-06-23_20240430075441.pdf","MCRO_27-CR-21-1230_Proposed Order or Document_2022-06-23_20240430075441.pdf")</f>
        <v>MCRO_27-CR-21-1230_Proposed Order or Document_2022-06-23_20240430075441.pdf</v>
      </c>
      <c r="F624" s="9" t="n">
        <v>44735</v>
      </c>
      <c r="G624" s="1" t="s">
        <v>492</v>
      </c>
      <c r="H624" s="3" t="s">
        <v>495</v>
      </c>
      <c r="I624" s="3" t="s">
        <v>496</v>
      </c>
    </row>
    <row r="625" customFormat="false" ht="18.7" hidden="false" customHeight="true" outlineLevel="0" collapsed="false">
      <c r="A625" s="1" t="n">
        <v>624</v>
      </c>
      <c r="F625" s="9"/>
    </row>
    <row r="626" customFormat="false" ht="18.7" hidden="false" customHeight="true" outlineLevel="0" collapsed="false">
      <c r="A626" s="1" t="n">
        <v>625</v>
      </c>
      <c r="B626" s="7" t="str">
        <f aca="false">HYPERLINK("https://mncourtfraud.com/file/MDL-9.zip","MDL-9.zip")</f>
        <v>MDL-9.zip</v>
      </c>
      <c r="C626" s="8" t="str">
        <f aca="false">HYPERLINK("https://mncourtfraud.com/file/27-CR-19-12130.pdf","27-CR-19-12130")</f>
        <v>27-CR-19-12130</v>
      </c>
      <c r="D626" s="3" t="s">
        <v>468</v>
      </c>
      <c r="E626" s="8" t="str">
        <f aca="false">HYPERLINK("https://mncourtfraud.com/file/MCRO_27-CR-19-12130_Returned Mail_2023-04-17_20240430091717.pdf","MCRO_27-CR-19-12130_Returned Mail_2023-04-17_20240430091717.pdf")</f>
        <v>MCRO_27-CR-19-12130_Returned Mail_2023-04-17_20240430091717.pdf</v>
      </c>
      <c r="F626" s="9" t="n">
        <v>45033</v>
      </c>
      <c r="G626" s="1" t="s">
        <v>497</v>
      </c>
      <c r="H626" s="3" t="s">
        <v>498</v>
      </c>
      <c r="I626" s="3" t="s">
        <v>499</v>
      </c>
    </row>
    <row r="627" customFormat="false" ht="18.7" hidden="false" customHeight="true" outlineLevel="0" collapsed="false">
      <c r="A627" s="1" t="n">
        <v>626</v>
      </c>
      <c r="B627" s="7" t="str">
        <f aca="false">HYPERLINK("https://mncourtfraud.com/file/MDL-9.zip","MDL-9.zip")</f>
        <v>MDL-9.zip</v>
      </c>
      <c r="C627" s="8" t="str">
        <f aca="false">HYPERLINK("https://mncourtfraud.com/file/27-CR-20-9036.pdf","27-CR-20-9036")</f>
        <v>27-CR-20-9036</v>
      </c>
      <c r="D627" s="3" t="s">
        <v>468</v>
      </c>
      <c r="E627" s="8" t="str">
        <f aca="false">HYPERLINK("https://mncourtfraud.com/file/MCRO_27-CR-20-9036_Returned Mail_2023-04-17_20240430085547.pdf","MCRO_27-CR-20-9036_Returned Mail_2023-04-17_20240430085547.pdf")</f>
        <v>MCRO_27-CR-20-9036_Returned Mail_2023-04-17_20240430085547.pdf</v>
      </c>
      <c r="F627" s="9" t="n">
        <v>45033</v>
      </c>
      <c r="G627" s="1" t="s">
        <v>497</v>
      </c>
      <c r="H627" s="3" t="s">
        <v>498</v>
      </c>
      <c r="I627" s="3" t="s">
        <v>499</v>
      </c>
    </row>
    <row r="628" customFormat="false" ht="18.7" hidden="false" customHeight="true" outlineLevel="0" collapsed="false">
      <c r="A628" s="1" t="n">
        <v>627</v>
      </c>
      <c r="B628" s="7" t="str">
        <f aca="false">HYPERLINK("https://mncourtfraud.com/file/MDL-9.zip","MDL-9.zip")</f>
        <v>MDL-9.zip</v>
      </c>
      <c r="C628" s="8" t="str">
        <f aca="false">HYPERLINK("https://mncourtfraud.com/file/27-CR-21-1230.pdf","27-CR-21-1230")</f>
        <v>27-CR-21-1230</v>
      </c>
      <c r="D628" s="3" t="s">
        <v>468</v>
      </c>
      <c r="E628" s="8" t="str">
        <f aca="false">HYPERLINK("https://mncourtfraud.com/file/MCRO_27-CR-21-1230_Returned Mail_2023-04-17_20240430075422.pdf","MCRO_27-CR-21-1230_Returned Mail_2023-04-17_20240430075422.pdf")</f>
        <v>MCRO_27-CR-21-1230_Returned Mail_2023-04-17_20240430075422.pdf</v>
      </c>
      <c r="F628" s="9" t="n">
        <v>45033</v>
      </c>
      <c r="G628" s="1" t="s">
        <v>497</v>
      </c>
      <c r="H628" s="3" t="s">
        <v>498</v>
      </c>
      <c r="I628" s="3" t="s">
        <v>499</v>
      </c>
    </row>
    <row r="629" customFormat="false" ht="18.7" hidden="false" customHeight="true" outlineLevel="0" collapsed="false">
      <c r="A629" s="1" t="n">
        <v>628</v>
      </c>
      <c r="B629" s="7" t="str">
        <f aca="false">HYPERLINK("https://mncourtfraud.com/file/MDL-9.zip","MDL-9.zip")</f>
        <v>MDL-9.zip</v>
      </c>
      <c r="C629" s="8" t="str">
        <f aca="false">HYPERLINK("https://mncourtfraud.com/file/27-CR-21-13752.pdf","27-CR-21-13752")</f>
        <v>27-CR-21-13752</v>
      </c>
      <c r="D629" s="3" t="s">
        <v>468</v>
      </c>
      <c r="E629" s="8" t="str">
        <f aca="false">HYPERLINK("https://mncourtfraud.com/file/MCRO_27-CR-21-13752_Returned Mail_2023-04-17_20240430082334.pdf","MCRO_27-CR-21-13752_Returned Mail_2023-04-17_20240430082334.pdf")</f>
        <v>MCRO_27-CR-21-13752_Returned Mail_2023-04-17_20240430082334.pdf</v>
      </c>
      <c r="F629" s="9" t="n">
        <v>45033</v>
      </c>
      <c r="G629" s="1" t="s">
        <v>497</v>
      </c>
      <c r="H629" s="3" t="s">
        <v>498</v>
      </c>
      <c r="I629" s="3" t="s">
        <v>499</v>
      </c>
    </row>
    <row r="630" customFormat="false" ht="18.7" hidden="false" customHeight="true" outlineLevel="0" collapsed="false">
      <c r="A630" s="1" t="n">
        <v>629</v>
      </c>
      <c r="B630" s="7" t="str">
        <f aca="false">HYPERLINK("https://mncourtfraud.com/file/MDL-9.zip","MDL-9.zip")</f>
        <v>MDL-9.zip</v>
      </c>
      <c r="C630" s="8" t="str">
        <f aca="false">HYPERLINK("https://mncourtfraud.com/file/27-CR-20-20851.pdf","27-CR-20-20851")</f>
        <v>27-CR-20-20851</v>
      </c>
      <c r="D630" s="3" t="s">
        <v>483</v>
      </c>
      <c r="E630" s="8" t="str">
        <f aca="false">HYPERLINK("https://mncourtfraud.com/file/MCRO_27-CR-20-20851_Returned Mail_2023-04-17_20240430090336.pdf","MCRO_27-CR-20-20851_Returned Mail_2023-04-17_20240430090336.pdf")</f>
        <v>MCRO_27-CR-20-20851_Returned Mail_2023-04-17_20240430090336.pdf</v>
      </c>
      <c r="F630" s="9" t="n">
        <v>45033</v>
      </c>
      <c r="G630" s="1" t="s">
        <v>497</v>
      </c>
      <c r="H630" s="3" t="s">
        <v>498</v>
      </c>
      <c r="I630" s="3" t="s">
        <v>499</v>
      </c>
    </row>
    <row r="631" customFormat="false" ht="18.7" hidden="false" customHeight="true" outlineLevel="0" collapsed="false">
      <c r="A631" s="1" t="n">
        <v>630</v>
      </c>
      <c r="B631" s="7" t="str">
        <f aca="false">HYPERLINK("https://mncourtfraud.com/file/MDL-9.zip","MDL-9.zip")</f>
        <v>MDL-9.zip</v>
      </c>
      <c r="C631" s="8" t="str">
        <f aca="false">HYPERLINK("https://mncourtfraud.com/file/27-CR-22-10055.pdf","27-CR-22-10055")</f>
        <v>27-CR-22-10055</v>
      </c>
      <c r="D631" s="3" t="s">
        <v>487</v>
      </c>
      <c r="E631" s="8" t="str">
        <f aca="false">HYPERLINK("https://mncourtfraud.com/file/MCRO_27-CR-22-10055_Returned Mail_2023-04-17_20240429152800.pdf","MCRO_27-CR-22-10055_Returned Mail_2023-04-17_20240429152800.pdf")</f>
        <v>MCRO_27-CR-22-10055_Returned Mail_2023-04-17_20240429152800.pdf</v>
      </c>
      <c r="F631" s="9" t="n">
        <v>45033</v>
      </c>
      <c r="G631" s="1" t="s">
        <v>497</v>
      </c>
      <c r="H631" s="3" t="s">
        <v>498</v>
      </c>
      <c r="I631" s="3" t="s">
        <v>499</v>
      </c>
    </row>
    <row r="632" customFormat="false" ht="18.7" hidden="false" customHeight="true" outlineLevel="0" collapsed="false">
      <c r="A632" s="1" t="n">
        <v>631</v>
      </c>
      <c r="F632" s="9"/>
    </row>
    <row r="633" customFormat="false" ht="18.7" hidden="false" customHeight="true" outlineLevel="0" collapsed="false">
      <c r="A633" s="1" t="n">
        <v>632</v>
      </c>
      <c r="B633" s="7" t="str">
        <f aca="false">HYPERLINK("https://mncourtfraud.com/file/MDL-10.zip","MDL-10.zip")</f>
        <v>MDL-10.zip</v>
      </c>
      <c r="C633" s="8" t="str">
        <f aca="false">HYPERLINK("https://mncourtfraud.com/file/27-CR-21-1230.pdf","27-CR-21-1230")</f>
        <v>27-CR-21-1230</v>
      </c>
      <c r="D633" s="3" t="s">
        <v>468</v>
      </c>
      <c r="E633" s="8" t="str">
        <f aca="false">HYPERLINK("https://mncourtfraud.com/file/MCRO_27-CR-21-1230_Notice of Remote Hearing with Instructions_2023-05-15_20240430075418.pdf","MCRO_27-CR-21-1230_Notice of Remote Hearing with Instructions_2023-05-15_20240430075418.pdf")</f>
        <v>MCRO_27-CR-21-1230_Notice of Remote Hearing with Instructions_2023-05-15_20240430075418.pdf</v>
      </c>
      <c r="F633" s="9" t="n">
        <v>45061</v>
      </c>
      <c r="G633" s="1" t="s">
        <v>500</v>
      </c>
      <c r="H633" s="3" t="s">
        <v>501</v>
      </c>
      <c r="I633" s="3" t="s">
        <v>502</v>
      </c>
    </row>
    <row r="634" customFormat="false" ht="18.7" hidden="false" customHeight="true" outlineLevel="0" collapsed="false">
      <c r="A634" s="1" t="n">
        <v>633</v>
      </c>
      <c r="B634" s="7" t="str">
        <f aca="false">HYPERLINK("https://mncourtfraud.com/file/MDL-10.zip","MDL-10.zip")</f>
        <v>MDL-10.zip</v>
      </c>
      <c r="C634" s="8" t="str">
        <f aca="false">HYPERLINK("https://mncourtfraud.com/file/27-CR-21-13752.pdf","27-CR-21-13752")</f>
        <v>27-CR-21-13752</v>
      </c>
      <c r="D634" s="3" t="s">
        <v>468</v>
      </c>
      <c r="E634" s="8" t="str">
        <f aca="false">HYPERLINK("https://mncourtfraud.com/file/MCRO_27-CR-21-13752_Notice of Remote Hearing with Instructions_2023-05-15_20240430082332.pdf","MCRO_27-CR-21-13752_Notice of Remote Hearing with Instructions_2023-05-15_20240430082332.pdf")</f>
        <v>MCRO_27-CR-21-13752_Notice of Remote Hearing with Instructions_2023-05-15_20240430082332.pdf</v>
      </c>
      <c r="F634" s="9" t="n">
        <v>45061</v>
      </c>
      <c r="G634" s="1" t="s">
        <v>500</v>
      </c>
      <c r="H634" s="3" t="s">
        <v>501</v>
      </c>
      <c r="I634" s="3" t="s">
        <v>502</v>
      </c>
    </row>
    <row r="635" customFormat="false" ht="18.7" hidden="false" customHeight="true" outlineLevel="0" collapsed="false">
      <c r="A635" s="1" t="n">
        <v>634</v>
      </c>
      <c r="F635" s="9"/>
    </row>
    <row r="636" customFormat="false" ht="18.7" hidden="false" customHeight="true" outlineLevel="0" collapsed="false">
      <c r="A636" s="1" t="n">
        <v>635</v>
      </c>
      <c r="B636" s="7" t="str">
        <f aca="false">HYPERLINK("https://mncourtfraud.com/file/MDL-11.zip","MDL-11.zip")</f>
        <v>MDL-11.zip</v>
      </c>
      <c r="C636" s="8" t="str">
        <f aca="false">HYPERLINK("https://mncourtfraud.com/file/27-CR-21-1230.pdf","27-CR-21-1230")</f>
        <v>27-CR-21-1230</v>
      </c>
      <c r="D636" s="3" t="s">
        <v>468</v>
      </c>
      <c r="E636" s="8" t="str">
        <f aca="false">HYPERLINK("https://mncourtfraud.com/file/MCRO_27-CR-21-1230_Order-Eval for Mental Illness or Cognitive Impairment 20.02_2023-05-15_20240430075419.pdf","MCRO_27-CR-21-1230_Order-Eval for Mental Illness or Cognitive Impairment 20.02_2023-05-15_20240430075419.pdf")</f>
        <v>MCRO_27-CR-21-1230_Order-Eval for Mental Illness or Cognitive Impairment 20.02_2023-05-15_20240430075419.pdf</v>
      </c>
      <c r="F636" s="9" t="n">
        <v>45061</v>
      </c>
      <c r="G636" s="1" t="s">
        <v>503</v>
      </c>
      <c r="H636" s="3" t="s">
        <v>504</v>
      </c>
      <c r="I636" s="3" t="s">
        <v>505</v>
      </c>
    </row>
    <row r="637" customFormat="false" ht="18.7" hidden="false" customHeight="true" outlineLevel="0" collapsed="false">
      <c r="A637" s="1" t="n">
        <v>636</v>
      </c>
      <c r="B637" s="7" t="str">
        <f aca="false">HYPERLINK("https://mncourtfraud.com/file/MDL-11.zip","MDL-11.zip")</f>
        <v>MDL-11.zip</v>
      </c>
      <c r="C637" s="8" t="str">
        <f aca="false">HYPERLINK("https://mncourtfraud.com/file/27-CR-21-13752.pdf","27-CR-21-13752")</f>
        <v>27-CR-21-13752</v>
      </c>
      <c r="D637" s="3" t="s">
        <v>468</v>
      </c>
      <c r="E637" s="8" t="str">
        <f aca="false">HYPERLINK("https://mncourtfraud.com/file/MCRO_27-CR-21-13752_Order-Evaluation for Competency to Proceed (Rule 20.01)_2023-05-15_20240430082330.pdf","MCRO_27-CR-21-13752_Order-Evaluation for Competency to Proceed (Rule 20.01)_2023-05-15_20240430082330.pdf")</f>
        <v>MCRO_27-CR-21-13752_Order-Evaluation for Competency to Proceed (Rule 20.01)_2023-05-15_20240430082330.pdf</v>
      </c>
      <c r="F637" s="9" t="n">
        <v>45061</v>
      </c>
      <c r="G637" s="1" t="s">
        <v>503</v>
      </c>
      <c r="H637" s="3" t="s">
        <v>504</v>
      </c>
      <c r="I637" s="3" t="s">
        <v>505</v>
      </c>
    </row>
    <row r="638" customFormat="false" ht="18.7" hidden="false" customHeight="true" outlineLevel="0" collapsed="false">
      <c r="A638" s="1" t="n">
        <v>637</v>
      </c>
      <c r="F638" s="9"/>
    </row>
    <row r="639" customFormat="false" ht="18.7" hidden="false" customHeight="true" outlineLevel="0" collapsed="false">
      <c r="A639" s="1" t="n">
        <v>638</v>
      </c>
      <c r="B639" s="7" t="str">
        <f aca="false">HYPERLINK("https://mncourtfraud.com/file/MDL-12.zip","MDL-12.zip")</f>
        <v>MDL-12.zip</v>
      </c>
      <c r="C639" s="8" t="str">
        <f aca="false">HYPERLINK("https://mncourtfraud.com/file/27-CR-19-11566.pdf","27-CR-19-11566")</f>
        <v>27-CR-19-11566</v>
      </c>
      <c r="D639" s="3" t="s">
        <v>468</v>
      </c>
      <c r="E639" s="8" t="str">
        <f aca="false">HYPERLINK("https://mncourtfraud.com/file/MCRO_27-CR-19-11566_Notice of Hearing_2023-05-15_20240430091609.pdf","MCRO_27-CR-19-11566_Notice of Hearing_2023-05-15_20240430091609.pdf")</f>
        <v>MCRO_27-CR-19-11566_Notice of Hearing_2023-05-15_20240430091609.pdf</v>
      </c>
      <c r="F639" s="9" t="n">
        <v>45061</v>
      </c>
      <c r="G639" s="1" t="s">
        <v>506</v>
      </c>
      <c r="H639" s="3" t="s">
        <v>507</v>
      </c>
      <c r="I639" s="3" t="s">
        <v>508</v>
      </c>
    </row>
    <row r="640" customFormat="false" ht="18.7" hidden="false" customHeight="true" outlineLevel="0" collapsed="false">
      <c r="A640" s="1" t="n">
        <v>639</v>
      </c>
      <c r="B640" s="7" t="str">
        <f aca="false">HYPERLINK("https://mncourtfraud.com/file/MDL-12.zip","MDL-12.zip")</f>
        <v>MDL-12.zip</v>
      </c>
      <c r="C640" s="8" t="str">
        <f aca="false">HYPERLINK("https://mncourtfraud.com/file/27-CR-19-12130.pdf","27-CR-19-12130")</f>
        <v>27-CR-19-12130</v>
      </c>
      <c r="D640" s="3" t="s">
        <v>468</v>
      </c>
      <c r="E640" s="8" t="str">
        <f aca="false">HYPERLINK("https://mncourtfraud.com/file/MCRO_27-CR-19-12130_Notice of Hearing_2023-05-15_20240430091715.pdf","MCRO_27-CR-19-12130_Notice of Hearing_2023-05-15_20240430091715.pdf")</f>
        <v>MCRO_27-CR-19-12130_Notice of Hearing_2023-05-15_20240430091715.pdf</v>
      </c>
      <c r="F640" s="9" t="n">
        <v>45061</v>
      </c>
      <c r="G640" s="1" t="s">
        <v>506</v>
      </c>
      <c r="H640" s="3" t="s">
        <v>507</v>
      </c>
      <c r="I640" s="3" t="s">
        <v>508</v>
      </c>
    </row>
    <row r="641" customFormat="false" ht="18.7" hidden="false" customHeight="true" outlineLevel="0" collapsed="false">
      <c r="A641" s="1" t="n">
        <v>640</v>
      </c>
      <c r="B641" s="7" t="str">
        <f aca="false">HYPERLINK("https://mncourtfraud.com/file/MDL-12.zip","MDL-12.zip")</f>
        <v>MDL-12.zip</v>
      </c>
      <c r="C641" s="8" t="str">
        <f aca="false">HYPERLINK("https://mncourtfraud.com/file/27-CR-20-9036.pdf","27-CR-20-9036")</f>
        <v>27-CR-20-9036</v>
      </c>
      <c r="D641" s="3" t="s">
        <v>468</v>
      </c>
      <c r="E641" s="8" t="str">
        <f aca="false">HYPERLINK("https://mncourtfraud.com/file/MCRO_27-CR-20-9036_Notice of Hearing_2023-05-15_20240430085545.pdf","MCRO_27-CR-20-9036_Notice of Hearing_2023-05-15_20240430085545.pdf")</f>
        <v>MCRO_27-CR-20-9036_Notice of Hearing_2023-05-15_20240430085545.pdf</v>
      </c>
      <c r="F641" s="9" t="n">
        <v>45061</v>
      </c>
      <c r="G641" s="1" t="s">
        <v>506</v>
      </c>
      <c r="H641" s="3" t="s">
        <v>507</v>
      </c>
      <c r="I641" s="3" t="s">
        <v>508</v>
      </c>
    </row>
    <row r="642" customFormat="false" ht="18.7" hidden="false" customHeight="true" outlineLevel="0" collapsed="false">
      <c r="A642" s="1" t="n">
        <v>641</v>
      </c>
      <c r="B642" s="7" t="str">
        <f aca="false">HYPERLINK("https://mncourtfraud.com/file/MDL-12.zip","MDL-12.zip")</f>
        <v>MDL-12.zip</v>
      </c>
      <c r="C642" s="8" t="str">
        <f aca="false">HYPERLINK("https://mncourtfraud.com/file/27-CR-21-1230.pdf","27-CR-21-1230")</f>
        <v>27-CR-21-1230</v>
      </c>
      <c r="D642" s="3" t="s">
        <v>468</v>
      </c>
      <c r="E642" s="8" t="str">
        <f aca="false">HYPERLINK("https://mncourtfraud.com/file/MCRO_27-CR-21-1230_Notice of Hearing_2023-05-15_20240430075420.pdf","MCRO_27-CR-21-1230_Notice of Hearing_2023-05-15_20240430075420.pdf")</f>
        <v>MCRO_27-CR-21-1230_Notice of Hearing_2023-05-15_20240430075420.pdf</v>
      </c>
      <c r="F642" s="9" t="n">
        <v>45061</v>
      </c>
      <c r="G642" s="1" t="s">
        <v>506</v>
      </c>
      <c r="H642" s="3" t="s">
        <v>507</v>
      </c>
      <c r="I642" s="3" t="s">
        <v>508</v>
      </c>
    </row>
    <row r="643" customFormat="false" ht="18.7" hidden="false" customHeight="true" outlineLevel="0" collapsed="false">
      <c r="A643" s="1" t="n">
        <v>642</v>
      </c>
      <c r="B643" s="7" t="str">
        <f aca="false">HYPERLINK("https://mncourtfraud.com/file/MDL-12.zip","MDL-12.zip")</f>
        <v>MDL-12.zip</v>
      </c>
      <c r="C643" s="8" t="str">
        <f aca="false">HYPERLINK("https://mncourtfraud.com/file/27-CR-21-13752.pdf","27-CR-21-13752")</f>
        <v>27-CR-21-13752</v>
      </c>
      <c r="D643" s="3" t="s">
        <v>468</v>
      </c>
      <c r="E643" s="8" t="str">
        <f aca="false">HYPERLINK("https://mncourtfraud.com/file/MCRO_27-CR-21-13752_Notice of Hearing_2023-05-15_20240430082331.pdf","MCRO_27-CR-21-13752_Notice of Hearing_2023-05-15_20240430082331.pdf")</f>
        <v>MCRO_27-CR-21-13752_Notice of Hearing_2023-05-15_20240430082331.pdf</v>
      </c>
      <c r="F643" s="9" t="n">
        <v>45061</v>
      </c>
      <c r="G643" s="1" t="s">
        <v>506</v>
      </c>
      <c r="H643" s="3" t="s">
        <v>507</v>
      </c>
      <c r="I643" s="3" t="s">
        <v>508</v>
      </c>
    </row>
    <row r="644" customFormat="false" ht="18.7" hidden="false" customHeight="true" outlineLevel="0" collapsed="false">
      <c r="A644" s="1" t="n">
        <v>643</v>
      </c>
      <c r="F644" s="9"/>
    </row>
    <row r="645" customFormat="false" ht="18.7" hidden="false" customHeight="true" outlineLevel="0" collapsed="false">
      <c r="A645" s="1" t="n">
        <v>644</v>
      </c>
      <c r="B645" s="7" t="str">
        <f aca="false">HYPERLINK("https://mncourtfraud.com/file/MDL-13.zip","MDL-13.zip")</f>
        <v>MDL-13.zip</v>
      </c>
      <c r="C645" s="8" t="str">
        <f aca="false">HYPERLINK("https://mncourtfraud.com/file/27-CR-19-11566.pdf","27-CR-19-11566")</f>
        <v>27-CR-19-11566</v>
      </c>
      <c r="D645" s="3" t="s">
        <v>468</v>
      </c>
      <c r="E645" s="8" t="str">
        <f aca="false">HYPERLINK("https://mncourtfraud.com/file/MCRO_27-CR-19-11566_Notice of Remote Hearing with Instructions_2023-06-13_20240430091607.pdf","MCRO_27-CR-19-11566_Notice of Remote Hearing with Instructions_2023-06-13_20240430091607.pdf")</f>
        <v>MCRO_27-CR-19-11566_Notice of Remote Hearing with Instructions_2023-06-13_20240430091607.pdf</v>
      </c>
      <c r="F645" s="9" t="n">
        <v>45090</v>
      </c>
      <c r="G645" s="1" t="s">
        <v>509</v>
      </c>
      <c r="H645" s="3" t="s">
        <v>510</v>
      </c>
      <c r="I645" s="3" t="s">
        <v>511</v>
      </c>
    </row>
    <row r="646" customFormat="false" ht="18.7" hidden="false" customHeight="true" outlineLevel="0" collapsed="false">
      <c r="A646" s="1" t="n">
        <v>645</v>
      </c>
      <c r="B646" s="7" t="str">
        <f aca="false">HYPERLINK("https://mncourtfraud.com/file/MDL-13.zip","MDL-13.zip")</f>
        <v>MDL-13.zip</v>
      </c>
      <c r="C646" s="8" t="str">
        <f aca="false">HYPERLINK("https://mncourtfraud.com/file/27-CR-19-12130.pdf","27-CR-19-12130")</f>
        <v>27-CR-19-12130</v>
      </c>
      <c r="D646" s="3" t="s">
        <v>468</v>
      </c>
      <c r="E646" s="8" t="str">
        <f aca="false">HYPERLINK("https://mncourtfraud.com/file/MCRO_27-CR-19-12130_Notice of Remote Hearing with Instructions_2023-06-13_20240430091714.pdf","MCRO_27-CR-19-12130_Notice of Remote Hearing with Instructions_2023-06-13_20240430091714.pdf")</f>
        <v>MCRO_27-CR-19-12130_Notice of Remote Hearing with Instructions_2023-06-13_20240430091714.pdf</v>
      </c>
      <c r="F646" s="9" t="n">
        <v>45090</v>
      </c>
      <c r="G646" s="1" t="s">
        <v>509</v>
      </c>
      <c r="H646" s="3" t="s">
        <v>510</v>
      </c>
      <c r="I646" s="3" t="s">
        <v>511</v>
      </c>
    </row>
    <row r="647" customFormat="false" ht="18.7" hidden="false" customHeight="true" outlineLevel="0" collapsed="false">
      <c r="A647" s="1" t="n">
        <v>646</v>
      </c>
      <c r="B647" s="7" t="str">
        <f aca="false">HYPERLINK("https://mncourtfraud.com/file/MDL-13.zip","MDL-13.zip")</f>
        <v>MDL-13.zip</v>
      </c>
      <c r="C647" s="8" t="str">
        <f aca="false">HYPERLINK("https://mncourtfraud.com/file/27-CR-20-9036.pdf","27-CR-20-9036")</f>
        <v>27-CR-20-9036</v>
      </c>
      <c r="D647" s="3" t="s">
        <v>468</v>
      </c>
      <c r="E647" s="8" t="str">
        <f aca="false">HYPERLINK("https://mncourtfraud.com/file/MCRO_27-CR-20-9036_Notice of Remote Hearing with Instructions_2023-06-13_20240430085543.pdf","MCRO_27-CR-20-9036_Notice of Remote Hearing with Instructions_2023-06-13_20240430085543.pdf")</f>
        <v>MCRO_27-CR-20-9036_Notice of Remote Hearing with Instructions_2023-06-13_20240430085543.pdf</v>
      </c>
      <c r="F647" s="9" t="n">
        <v>45090</v>
      </c>
      <c r="G647" s="1" t="s">
        <v>509</v>
      </c>
      <c r="H647" s="3" t="s">
        <v>510</v>
      </c>
      <c r="I647" s="3" t="s">
        <v>511</v>
      </c>
    </row>
    <row r="648" customFormat="false" ht="18.7" hidden="false" customHeight="true" outlineLevel="0" collapsed="false">
      <c r="A648" s="1" t="n">
        <v>647</v>
      </c>
      <c r="B648" s="7" t="str">
        <f aca="false">HYPERLINK("https://mncourtfraud.com/file/MDL-13.zip","MDL-13.zip")</f>
        <v>MDL-13.zip</v>
      </c>
      <c r="C648" s="8" t="str">
        <f aca="false">HYPERLINK("https://mncourtfraud.com/file/27-CR-21-1230.pdf","27-CR-21-1230")</f>
        <v>27-CR-21-1230</v>
      </c>
      <c r="D648" s="3" t="s">
        <v>468</v>
      </c>
      <c r="E648" s="8" t="str">
        <f aca="false">HYPERLINK("https://mncourtfraud.com/file/MCRO_27-CR-21-1230_Notice of Remote Hearing with Instructions_2023-06-13_20240430075416.pdf","MCRO_27-CR-21-1230_Notice of Remote Hearing with Instructions_2023-06-13_20240430075416.pdf")</f>
        <v>MCRO_27-CR-21-1230_Notice of Remote Hearing with Instructions_2023-06-13_20240430075416.pdf</v>
      </c>
      <c r="F648" s="9" t="n">
        <v>45090</v>
      </c>
      <c r="G648" s="1" t="s">
        <v>509</v>
      </c>
      <c r="H648" s="3" t="s">
        <v>510</v>
      </c>
      <c r="I648" s="3" t="s">
        <v>511</v>
      </c>
    </row>
    <row r="649" customFormat="false" ht="18.7" hidden="false" customHeight="true" outlineLevel="0" collapsed="false">
      <c r="A649" s="1" t="n">
        <v>648</v>
      </c>
      <c r="B649" s="7" t="str">
        <f aca="false">HYPERLINK("https://mncourtfraud.com/file/MDL-13.zip","MDL-13.zip")</f>
        <v>MDL-13.zip</v>
      </c>
      <c r="C649" s="8" t="str">
        <f aca="false">HYPERLINK("https://mncourtfraud.com/file/27-CR-21-13752.pdf","27-CR-21-13752")</f>
        <v>27-CR-21-13752</v>
      </c>
      <c r="D649" s="3" t="s">
        <v>468</v>
      </c>
      <c r="E649" s="8" t="str">
        <f aca="false">HYPERLINK("https://mncourtfraud.com/file/MCRO_27-CR-21-13752_Notice of Remote Hearing with Instructions_2023-06-13_20240430082328.pdf","MCRO_27-CR-21-13752_Notice of Remote Hearing with Instructions_2023-06-13_20240430082328.pdf")</f>
        <v>MCRO_27-CR-21-13752_Notice of Remote Hearing with Instructions_2023-06-13_20240430082328.pdf</v>
      </c>
      <c r="F649" s="9" t="n">
        <v>45090</v>
      </c>
      <c r="G649" s="1" t="s">
        <v>509</v>
      </c>
      <c r="H649" s="3" t="s">
        <v>510</v>
      </c>
      <c r="I649" s="3" t="s">
        <v>511</v>
      </c>
    </row>
    <row r="650" customFormat="false" ht="18.7" hidden="false" customHeight="true" outlineLevel="0" collapsed="false">
      <c r="A650" s="1" t="n">
        <v>649</v>
      </c>
      <c r="F650" s="9"/>
    </row>
    <row r="651" customFormat="false" ht="18.7" hidden="false" customHeight="true" outlineLevel="0" collapsed="false">
      <c r="A651" s="1" t="n">
        <v>650</v>
      </c>
      <c r="B651" s="7" t="str">
        <f aca="false">HYPERLINK("https://mncourtfraud.com/file/MDL-14.zip","MDL-14.zip")</f>
        <v>MDL-14.zip</v>
      </c>
      <c r="C651" s="8" t="str">
        <f aca="false">HYPERLINK("https://mncourtfraud.com/file/27-CR-19-11566.pdf","27-CR-19-11566")</f>
        <v>27-CR-19-11566</v>
      </c>
      <c r="D651" s="3" t="s">
        <v>468</v>
      </c>
      <c r="E651" s="8" t="str">
        <f aca="false">HYPERLINK("https://mncourtfraud.com/file/MCRO_27-CR-19-11566_Notice of Hearing_2023-06-13_20240430091608.pdf","MCRO_27-CR-19-11566_Notice of Hearing_2023-06-13_20240430091608.pdf")</f>
        <v>MCRO_27-CR-19-11566_Notice of Hearing_2023-06-13_20240430091608.pdf</v>
      </c>
      <c r="F651" s="9" t="n">
        <v>45090</v>
      </c>
      <c r="G651" s="1" t="s">
        <v>512</v>
      </c>
      <c r="H651" s="3" t="s">
        <v>513</v>
      </c>
      <c r="I651" s="3" t="s">
        <v>514</v>
      </c>
    </row>
    <row r="652" customFormat="false" ht="18.7" hidden="false" customHeight="true" outlineLevel="0" collapsed="false">
      <c r="A652" s="1" t="n">
        <v>651</v>
      </c>
      <c r="B652" s="7" t="str">
        <f aca="false">HYPERLINK("https://mncourtfraud.com/file/MDL-14.zip","MDL-14.zip")</f>
        <v>MDL-14.zip</v>
      </c>
      <c r="C652" s="8" t="str">
        <f aca="false">HYPERLINK("https://mncourtfraud.com/file/27-CR-19-12130.pdf","27-CR-19-12130")</f>
        <v>27-CR-19-12130</v>
      </c>
      <c r="D652" s="3" t="s">
        <v>468</v>
      </c>
      <c r="E652" s="8" t="str">
        <f aca="false">HYPERLINK("https://mncourtfraud.com/file/MCRO_27-CR-19-12130_Notice of Hearing_2023-06-13_20240430091713.pdf","MCRO_27-CR-19-12130_Notice of Hearing_2023-06-13_20240430091713.pdf")</f>
        <v>MCRO_27-CR-19-12130_Notice of Hearing_2023-06-13_20240430091713.pdf</v>
      </c>
      <c r="F652" s="9" t="n">
        <v>45090</v>
      </c>
      <c r="G652" s="1" t="s">
        <v>512</v>
      </c>
      <c r="H652" s="3" t="s">
        <v>513</v>
      </c>
      <c r="I652" s="3" t="s">
        <v>514</v>
      </c>
    </row>
    <row r="653" customFormat="false" ht="18.7" hidden="false" customHeight="true" outlineLevel="0" collapsed="false">
      <c r="A653" s="1" t="n">
        <v>652</v>
      </c>
      <c r="B653" s="7" t="str">
        <f aca="false">HYPERLINK("https://mncourtfraud.com/file/MDL-14.zip","MDL-14.zip")</f>
        <v>MDL-14.zip</v>
      </c>
      <c r="C653" s="8" t="str">
        <f aca="false">HYPERLINK("https://mncourtfraud.com/file/27-CR-20-9036.pdf","27-CR-20-9036")</f>
        <v>27-CR-20-9036</v>
      </c>
      <c r="D653" s="3" t="s">
        <v>468</v>
      </c>
      <c r="E653" s="8" t="str">
        <f aca="false">HYPERLINK("https://mncourtfraud.com/file/MCRO_27-CR-20-9036_Notice of Hearing_2023-06-13_20240430085544.pdf","MCRO_27-CR-20-9036_Notice of Hearing_2023-06-13_20240430085544.pdf")</f>
        <v>MCRO_27-CR-20-9036_Notice of Hearing_2023-06-13_20240430085544.pdf</v>
      </c>
      <c r="F653" s="9" t="n">
        <v>45090</v>
      </c>
      <c r="G653" s="1" t="s">
        <v>512</v>
      </c>
      <c r="H653" s="3" t="s">
        <v>513</v>
      </c>
      <c r="I653" s="3" t="s">
        <v>514</v>
      </c>
    </row>
    <row r="654" customFormat="false" ht="18.7" hidden="false" customHeight="true" outlineLevel="0" collapsed="false">
      <c r="A654" s="1" t="n">
        <v>653</v>
      </c>
      <c r="B654" s="7" t="str">
        <f aca="false">HYPERLINK("https://mncourtfraud.com/file/MDL-14.zip","MDL-14.zip")</f>
        <v>MDL-14.zip</v>
      </c>
      <c r="C654" s="8" t="str">
        <f aca="false">HYPERLINK("https://mncourtfraud.com/file/27-CR-21-1230.pdf","27-CR-21-1230")</f>
        <v>27-CR-21-1230</v>
      </c>
      <c r="D654" s="3" t="s">
        <v>468</v>
      </c>
      <c r="E654" s="8" t="str">
        <f aca="false">HYPERLINK("https://mncourtfraud.com/file/MCRO_27-CR-21-1230_Notice of Hearing_2023-06-13_20240430075417.pdf","MCRO_27-CR-21-1230_Notice of Hearing_2023-06-13_20240430075417.pdf")</f>
        <v>MCRO_27-CR-21-1230_Notice of Hearing_2023-06-13_20240430075417.pdf</v>
      </c>
      <c r="F654" s="9" t="n">
        <v>45090</v>
      </c>
      <c r="G654" s="1" t="s">
        <v>512</v>
      </c>
      <c r="H654" s="3" t="s">
        <v>513</v>
      </c>
      <c r="I654" s="3" t="s">
        <v>514</v>
      </c>
    </row>
    <row r="655" customFormat="false" ht="18.7" hidden="false" customHeight="true" outlineLevel="0" collapsed="false">
      <c r="A655" s="1" t="n">
        <v>654</v>
      </c>
      <c r="B655" s="7" t="str">
        <f aca="false">HYPERLINK("https://mncourtfraud.com/file/MDL-14.zip","MDL-14.zip")</f>
        <v>MDL-14.zip</v>
      </c>
      <c r="C655" s="8" t="str">
        <f aca="false">HYPERLINK("https://mncourtfraud.com/file/27-CR-21-13752.pdf","27-CR-21-13752")</f>
        <v>27-CR-21-13752</v>
      </c>
      <c r="D655" s="3" t="s">
        <v>468</v>
      </c>
      <c r="E655" s="8" t="str">
        <f aca="false">HYPERLINK("https://mncourtfraud.com/file/MCRO_27-CR-21-13752_Notice of Hearing_2023-06-13_20240430082329.pdf","MCRO_27-CR-21-13752_Notice of Hearing_2023-06-13_20240430082329.pdf")</f>
        <v>MCRO_27-CR-21-13752_Notice of Hearing_2023-06-13_20240430082329.pdf</v>
      </c>
      <c r="F655" s="9" t="n">
        <v>45090</v>
      </c>
      <c r="G655" s="1" t="s">
        <v>512</v>
      </c>
      <c r="H655" s="3" t="s">
        <v>513</v>
      </c>
      <c r="I655" s="3" t="s">
        <v>514</v>
      </c>
    </row>
    <row r="656" customFormat="false" ht="18.7" hidden="false" customHeight="true" outlineLevel="0" collapsed="false">
      <c r="A656" s="1" t="n">
        <v>655</v>
      </c>
      <c r="F656" s="9"/>
    </row>
    <row r="657" customFormat="false" ht="18.7" hidden="false" customHeight="true" outlineLevel="0" collapsed="false">
      <c r="A657" s="1" t="n">
        <v>656</v>
      </c>
      <c r="B657" s="7" t="str">
        <f aca="false">HYPERLINK("https://mncourtfraud.com/file/MDL-15.zip","MDL-15.zip")</f>
        <v>MDL-15.zip</v>
      </c>
      <c r="C657" s="8" t="str">
        <f aca="false">HYPERLINK("https://mncourtfraud.com/file/27-CR-19-11566.pdf","27-CR-19-11566")</f>
        <v>27-CR-19-11566</v>
      </c>
      <c r="D657" s="3" t="s">
        <v>468</v>
      </c>
      <c r="E657" s="8" t="str">
        <f aca="false">HYPERLINK("https://mncourtfraud.com/file/MCRO_27-CR-19-11566_Order-Evaluation for Competency to Proceed (Rule 20.01)_2023-07-18_20240430091606.pdf","MCRO_27-CR-19-11566_Order-Evaluation for Competency to Proceed (Rule 20.01)_2023-07-18_20240430091606.pdf")</f>
        <v>MCRO_27-CR-19-11566_Order-Evaluation for Competency to Proceed (Rule 20.01)_2023-07-18_20240430091606.pdf</v>
      </c>
      <c r="F657" s="9" t="n">
        <v>45125</v>
      </c>
      <c r="G657" s="1" t="s">
        <v>515</v>
      </c>
      <c r="H657" s="3" t="s">
        <v>516</v>
      </c>
      <c r="I657" s="3" t="s">
        <v>517</v>
      </c>
    </row>
    <row r="658" customFormat="false" ht="18.7" hidden="false" customHeight="true" outlineLevel="0" collapsed="false">
      <c r="A658" s="1" t="n">
        <v>657</v>
      </c>
      <c r="B658" s="7" t="str">
        <f aca="false">HYPERLINK("https://mncourtfraud.com/file/MDL-15.zip","MDL-15.zip")</f>
        <v>MDL-15.zip</v>
      </c>
      <c r="C658" s="8" t="str">
        <f aca="false">HYPERLINK("https://mncourtfraud.com/file/27-CR-19-12130.pdf","27-CR-19-12130")</f>
        <v>27-CR-19-12130</v>
      </c>
      <c r="D658" s="3" t="s">
        <v>468</v>
      </c>
      <c r="E658" s="8" t="str">
        <f aca="false">HYPERLINK("https://mncourtfraud.com/file/MCRO_27-CR-19-12130_Order-Evaluation for Competency to Proceed (Rule 20.01)_2023-07-18_20240430091712.pdf","MCRO_27-CR-19-12130_Order-Evaluation for Competency to Proceed (Rule 20.01)_2023-07-18_20240430091712.pdf")</f>
        <v>MCRO_27-CR-19-12130_Order-Evaluation for Competency to Proceed (Rule 20.01)_2023-07-18_20240430091712.pdf</v>
      </c>
      <c r="F658" s="9" t="n">
        <v>45125</v>
      </c>
      <c r="G658" s="1" t="s">
        <v>515</v>
      </c>
      <c r="H658" s="3" t="s">
        <v>516</v>
      </c>
      <c r="I658" s="3" t="s">
        <v>517</v>
      </c>
    </row>
    <row r="659" customFormat="false" ht="18.7" hidden="false" customHeight="true" outlineLevel="0" collapsed="false">
      <c r="A659" s="1" t="n">
        <v>658</v>
      </c>
      <c r="B659" s="7" t="str">
        <f aca="false">HYPERLINK("https://mncourtfraud.com/file/MDL-15.zip","MDL-15.zip")</f>
        <v>MDL-15.zip</v>
      </c>
      <c r="C659" s="8" t="str">
        <f aca="false">HYPERLINK("https://mncourtfraud.com/file/27-CR-20-9036.pdf","27-CR-20-9036")</f>
        <v>27-CR-20-9036</v>
      </c>
      <c r="D659" s="3" t="s">
        <v>468</v>
      </c>
      <c r="E659" s="8" t="str">
        <f aca="false">HYPERLINK("https://mncourtfraud.com/file/MCRO_27-CR-20-9036_Order-Evaluation for Competency to Proceed (Rule 20.01)_2023-07-18_20240430085542.pdf","MCRO_27-CR-20-9036_Order-Evaluation for Competency to Proceed (Rule 20.01)_2023-07-18_20240430085542.pdf")</f>
        <v>MCRO_27-CR-20-9036_Order-Evaluation for Competency to Proceed (Rule 20.01)_2023-07-18_20240430085542.pdf</v>
      </c>
      <c r="F659" s="9" t="n">
        <v>45125</v>
      </c>
      <c r="G659" s="1" t="s">
        <v>515</v>
      </c>
      <c r="H659" s="3" t="s">
        <v>516</v>
      </c>
      <c r="I659" s="3" t="s">
        <v>517</v>
      </c>
    </row>
    <row r="660" customFormat="false" ht="18.7" hidden="false" customHeight="true" outlineLevel="0" collapsed="false">
      <c r="A660" s="1" t="n">
        <v>659</v>
      </c>
      <c r="B660" s="7" t="str">
        <f aca="false">HYPERLINK("https://mncourtfraud.com/file/MDL-15.zip","MDL-15.zip")</f>
        <v>MDL-15.zip</v>
      </c>
      <c r="C660" s="8" t="str">
        <f aca="false">HYPERLINK("https://mncourtfraud.com/file/27-CR-21-1230.pdf","27-CR-21-1230")</f>
        <v>27-CR-21-1230</v>
      </c>
      <c r="D660" s="3" t="s">
        <v>468</v>
      </c>
      <c r="E660" s="8" t="str">
        <f aca="false">HYPERLINK("https://mncourtfraud.com/file/MCRO_27-CR-21-1230_Order-Evaluation for Competency to Proceed (Rule 20.01)_2023-07-18_20240430075414.pdf","MCRO_27-CR-21-1230_Order-Evaluation for Competency to Proceed (Rule 20.01)_2023-07-18_20240430075414.pdf")</f>
        <v>MCRO_27-CR-21-1230_Order-Evaluation for Competency to Proceed (Rule 20.01)_2023-07-18_20240430075414.pdf</v>
      </c>
      <c r="F660" s="9" t="n">
        <v>45125</v>
      </c>
      <c r="G660" s="1" t="s">
        <v>515</v>
      </c>
      <c r="H660" s="3" t="s">
        <v>516</v>
      </c>
      <c r="I660" s="3" t="s">
        <v>517</v>
      </c>
    </row>
    <row r="661" customFormat="false" ht="18.7" hidden="false" customHeight="true" outlineLevel="0" collapsed="false">
      <c r="A661" s="1" t="n">
        <v>660</v>
      </c>
      <c r="B661" s="7" t="str">
        <f aca="false">HYPERLINK("https://mncourtfraud.com/file/MDL-15.zip","MDL-15.zip")</f>
        <v>MDL-15.zip</v>
      </c>
      <c r="C661" s="8" t="str">
        <f aca="false">HYPERLINK("https://mncourtfraud.com/file/27-CR-21-13752.pdf","27-CR-21-13752")</f>
        <v>27-CR-21-13752</v>
      </c>
      <c r="D661" s="3" t="s">
        <v>468</v>
      </c>
      <c r="E661" s="8" t="str">
        <f aca="false">HYPERLINK("https://mncourtfraud.com/file/MCRO_27-CR-21-13752_Order-Evaluation for Competency to Proceed (Rule 20.01)_2023-07-18_20240430082327.pdf","MCRO_27-CR-21-13752_Order-Evaluation for Competency to Proceed (Rule 20.01)_2023-07-18_20240430082327.pdf")</f>
        <v>MCRO_27-CR-21-13752_Order-Evaluation for Competency to Proceed (Rule 20.01)_2023-07-18_20240430082327.pdf</v>
      </c>
      <c r="F661" s="9" t="n">
        <v>45125</v>
      </c>
      <c r="G661" s="1" t="s">
        <v>515</v>
      </c>
      <c r="H661" s="3" t="s">
        <v>516</v>
      </c>
      <c r="I661" s="3" t="s">
        <v>517</v>
      </c>
    </row>
    <row r="662" customFormat="false" ht="18.7" hidden="false" customHeight="true" outlineLevel="0" collapsed="false">
      <c r="A662" s="1" t="n">
        <v>661</v>
      </c>
      <c r="B662" s="7" t="str">
        <f aca="false">HYPERLINK("https://mncourtfraud.com/file/MDL-15.zip","MDL-15.zip")</f>
        <v>MDL-15.zip</v>
      </c>
      <c r="C662" s="8" t="str">
        <f aca="false">HYPERLINK("https://mncourtfraud.com/file/27-CR-20-20851.pdf","27-CR-20-20851")</f>
        <v>27-CR-20-20851</v>
      </c>
      <c r="D662" s="3" t="s">
        <v>483</v>
      </c>
      <c r="E662" s="8" t="str">
        <f aca="false">HYPERLINK("https://mncourtfraud.com/file/MCRO_27-CR-20-20851_Order-Evaluation for Competency to Proceed (Rule 20.01)_2023-07-18_20240430090332.pdf","MCRO_27-CR-20-20851_Order-Evaluation for Competency to Proceed (Rule 20.01)_2023-07-18_20240430090332.pdf")</f>
        <v>MCRO_27-CR-20-20851_Order-Evaluation for Competency to Proceed (Rule 20.01)_2023-07-18_20240430090332.pdf</v>
      </c>
      <c r="F662" s="9" t="n">
        <v>45125</v>
      </c>
      <c r="G662" s="1" t="s">
        <v>515</v>
      </c>
      <c r="H662" s="3" t="s">
        <v>516</v>
      </c>
      <c r="I662" s="3" t="s">
        <v>517</v>
      </c>
    </row>
    <row r="663" customFormat="false" ht="18.7" hidden="false" customHeight="true" outlineLevel="0" collapsed="false">
      <c r="A663" s="1" t="n">
        <v>662</v>
      </c>
      <c r="B663" s="7" t="str">
        <f aca="false">HYPERLINK("https://mncourtfraud.com/file/MDL-15.zip","MDL-15.zip")</f>
        <v>MDL-15.zip</v>
      </c>
      <c r="C663" s="8" t="str">
        <f aca="false">HYPERLINK("https://mncourtfraud.com/file/27-CR-22-10055.pdf","27-CR-22-10055")</f>
        <v>27-CR-22-10055</v>
      </c>
      <c r="D663" s="3" t="s">
        <v>487</v>
      </c>
      <c r="E663" s="8" t="str">
        <f aca="false">HYPERLINK("https://mncourtfraud.com/file/MCRO_27-CR-22-10055_Order-Evaluation for Competency to Proceed (Rule 20.01)_2023-07-18_20240429152756.pdf","MCRO_27-CR-22-10055_Order-Evaluation for Competency to Proceed (Rule 20.01)_2023-07-18_20240429152756.pdf")</f>
        <v>MCRO_27-CR-22-10055_Order-Evaluation for Competency to Proceed (Rule 20.01)_2023-07-18_20240429152756.pdf</v>
      </c>
      <c r="F663" s="9" t="n">
        <v>45125</v>
      </c>
      <c r="G663" s="1" t="s">
        <v>515</v>
      </c>
      <c r="H663" s="3" t="s">
        <v>516</v>
      </c>
      <c r="I663" s="3" t="s">
        <v>517</v>
      </c>
    </row>
    <row r="664" customFormat="false" ht="18.7" hidden="false" customHeight="true" outlineLevel="0" collapsed="false">
      <c r="A664" s="1" t="n">
        <v>663</v>
      </c>
      <c r="F664" s="9"/>
    </row>
    <row r="665" customFormat="false" ht="18.7" hidden="false" customHeight="true" outlineLevel="0" collapsed="false">
      <c r="A665" s="1" t="n">
        <v>664</v>
      </c>
      <c r="B665" s="7" t="str">
        <f aca="false">HYPERLINK("https://mncourtfraud.com/file/MDL-16.zip","MDL-16.zip")</f>
        <v>MDL-16.zip</v>
      </c>
      <c r="C665" s="8" t="str">
        <f aca="false">HYPERLINK("https://mncourtfraud.com/file/27-CR-19-11566.pdf","27-CR-19-11566")</f>
        <v>27-CR-19-11566</v>
      </c>
      <c r="D665" s="3" t="s">
        <v>468</v>
      </c>
      <c r="E665" s="8" t="str">
        <f aca="false">HYPERLINK("https://mncourtfraud.com/file/MCRO_27-CR-19-11566_Notice of Remote Hearing with Instructions_2023-07-19_20240430091605.pdf","MCRO_27-CR-19-11566_Notice of Remote Hearing with Instructions_2023-07-19_20240430091605.pdf")</f>
        <v>MCRO_27-CR-19-11566_Notice of Remote Hearing with Instructions_2023-07-19_20240430091605.pdf</v>
      </c>
      <c r="F665" s="9" t="n">
        <v>45126</v>
      </c>
      <c r="G665" s="1" t="s">
        <v>518</v>
      </c>
      <c r="H665" s="3" t="s">
        <v>519</v>
      </c>
      <c r="I665" s="3" t="s">
        <v>520</v>
      </c>
    </row>
    <row r="666" customFormat="false" ht="18.7" hidden="false" customHeight="true" outlineLevel="0" collapsed="false">
      <c r="A666" s="1" t="n">
        <v>665</v>
      </c>
      <c r="B666" s="7" t="str">
        <f aca="false">HYPERLINK("https://mncourtfraud.com/file/MDL-16.zip","MDL-16.zip")</f>
        <v>MDL-16.zip</v>
      </c>
      <c r="C666" s="8" t="str">
        <f aca="false">HYPERLINK("https://mncourtfraud.com/file/27-CR-20-9036.pdf","27-CR-20-9036")</f>
        <v>27-CR-20-9036</v>
      </c>
      <c r="D666" s="3" t="s">
        <v>468</v>
      </c>
      <c r="E666" s="8" t="str">
        <f aca="false">HYPERLINK("https://mncourtfraud.com/file/MCRO_27-CR-20-9036_Notice of Remote Hearing with Instructions_2023-07-19_20240430085541.pdf","MCRO_27-CR-20-9036_Notice of Remote Hearing with Instructions_2023-07-19_20240430085541.pdf")</f>
        <v>MCRO_27-CR-20-9036_Notice of Remote Hearing with Instructions_2023-07-19_20240430085541.pdf</v>
      </c>
      <c r="F666" s="9" t="n">
        <v>45126</v>
      </c>
      <c r="G666" s="1" t="s">
        <v>518</v>
      </c>
      <c r="H666" s="3" t="s">
        <v>519</v>
      </c>
      <c r="I666" s="3" t="s">
        <v>520</v>
      </c>
    </row>
    <row r="667" customFormat="false" ht="18.7" hidden="false" customHeight="true" outlineLevel="0" collapsed="false">
      <c r="A667" s="1" t="n">
        <v>666</v>
      </c>
      <c r="B667" s="7" t="str">
        <f aca="false">HYPERLINK("https://mncourtfraud.com/file/MDL-16.zip","MDL-16.zip")</f>
        <v>MDL-16.zip</v>
      </c>
      <c r="C667" s="8" t="str">
        <f aca="false">HYPERLINK("https://mncourtfraud.com/file/27-CR-21-1230.pdf","27-CR-21-1230")</f>
        <v>27-CR-21-1230</v>
      </c>
      <c r="D667" s="3" t="s">
        <v>468</v>
      </c>
      <c r="E667" s="8" t="str">
        <f aca="false">HYPERLINK("https://mncourtfraud.com/file/MCRO_27-CR-21-1230_Notice of Remote Hearing with Instructions_2023-07-19_20240430075414.pdf","MCRO_27-CR-21-1230_Notice of Remote Hearing with Instructions_2023-07-19_20240430075414.pdf")</f>
        <v>MCRO_27-CR-21-1230_Notice of Remote Hearing with Instructions_2023-07-19_20240430075414.pdf</v>
      </c>
      <c r="F667" s="9" t="n">
        <v>45126</v>
      </c>
      <c r="G667" s="1" t="s">
        <v>518</v>
      </c>
      <c r="H667" s="3" t="s">
        <v>519</v>
      </c>
      <c r="I667" s="3" t="s">
        <v>520</v>
      </c>
    </row>
    <row r="668" customFormat="false" ht="18.7" hidden="false" customHeight="true" outlineLevel="0" collapsed="false">
      <c r="A668" s="1" t="n">
        <v>667</v>
      </c>
      <c r="B668" s="7" t="str">
        <f aca="false">HYPERLINK("https://mncourtfraud.com/file/MDL-16.zip","MDL-16.zip")</f>
        <v>MDL-16.zip</v>
      </c>
      <c r="C668" s="8" t="str">
        <f aca="false">HYPERLINK("https://mncourtfraud.com/file/27-CR-21-13752.pdf","27-CR-21-13752")</f>
        <v>27-CR-21-13752</v>
      </c>
      <c r="D668" s="3" t="s">
        <v>468</v>
      </c>
      <c r="E668" s="8" t="str">
        <f aca="false">HYPERLINK("https://mncourtfraud.com/file/MCRO_27-CR-21-13752_Notice of Remote Hearing with Instructions_2023-07-19_20240430082326.pdf","MCRO_27-CR-21-13752_Notice of Remote Hearing with Instructions_2023-07-19_20240430082326.pdf")</f>
        <v>MCRO_27-CR-21-13752_Notice of Remote Hearing with Instructions_2023-07-19_20240430082326.pdf</v>
      </c>
      <c r="F668" s="9" t="n">
        <v>45126</v>
      </c>
      <c r="G668" s="1" t="s">
        <v>518</v>
      </c>
      <c r="H668" s="3" t="s">
        <v>519</v>
      </c>
      <c r="I668" s="3" t="s">
        <v>520</v>
      </c>
    </row>
    <row r="669" customFormat="false" ht="18.7" hidden="false" customHeight="true" outlineLevel="0" collapsed="false">
      <c r="A669" s="1" t="n">
        <v>668</v>
      </c>
      <c r="B669" s="7" t="str">
        <f aca="false">HYPERLINK("https://mncourtfraud.com/file/MDL-16.zip","MDL-16.zip")</f>
        <v>MDL-16.zip</v>
      </c>
      <c r="C669" s="8" t="str">
        <f aca="false">HYPERLINK("https://mncourtfraud.com/file/27-CR-20-20851.pdf","27-CR-20-20851")</f>
        <v>27-CR-20-20851</v>
      </c>
      <c r="D669" s="3" t="s">
        <v>483</v>
      </c>
      <c r="E669" s="8" t="str">
        <f aca="false">HYPERLINK("https://mncourtfraud.com/file/MCRO_27-CR-20-20851_Notice of Remote Hearing with Instructions_2023-07-19_20240430090331.pdf","MCRO_27-CR-20-20851_Notice of Remote Hearing with Instructions_2023-07-19_20240430090331.pdf")</f>
        <v>MCRO_27-CR-20-20851_Notice of Remote Hearing with Instructions_2023-07-19_20240430090331.pdf</v>
      </c>
      <c r="F669" s="9" t="n">
        <v>45126</v>
      </c>
      <c r="G669" s="1" t="s">
        <v>518</v>
      </c>
      <c r="H669" s="3" t="s">
        <v>519</v>
      </c>
      <c r="I669" s="3" t="s">
        <v>520</v>
      </c>
    </row>
    <row r="670" customFormat="false" ht="18.7" hidden="false" customHeight="true" outlineLevel="0" collapsed="false">
      <c r="A670" s="1" t="n">
        <v>669</v>
      </c>
      <c r="B670" s="7" t="str">
        <f aca="false">HYPERLINK("https://mncourtfraud.com/file/MDL-16.zip","MDL-16.zip")</f>
        <v>MDL-16.zip</v>
      </c>
      <c r="C670" s="8" t="str">
        <f aca="false">HYPERLINK("https://mncourtfraud.com/file/27-CR-22-10055.pdf","27-CR-22-10055")</f>
        <v>27-CR-22-10055</v>
      </c>
      <c r="D670" s="3" t="s">
        <v>487</v>
      </c>
      <c r="E670" s="8" t="str">
        <f aca="false">HYPERLINK("https://mncourtfraud.com/file/MCRO_27-CR-22-10055_Notice of Remote Hearing with Instructions_2023-07-19_20240429152755.pdf","MCRO_27-CR-22-10055_Notice of Remote Hearing with Instructions_2023-07-19_20240429152755.pdf")</f>
        <v>MCRO_27-CR-22-10055_Notice of Remote Hearing with Instructions_2023-07-19_20240429152755.pdf</v>
      </c>
      <c r="F670" s="9" t="n">
        <v>45126</v>
      </c>
      <c r="G670" s="1" t="s">
        <v>518</v>
      </c>
      <c r="H670" s="3" t="s">
        <v>519</v>
      </c>
      <c r="I670" s="3" t="s">
        <v>520</v>
      </c>
    </row>
    <row r="671" customFormat="false" ht="18.7" hidden="false" customHeight="true" outlineLevel="0" collapsed="false">
      <c r="A671" s="1" t="n">
        <v>670</v>
      </c>
      <c r="F671" s="9"/>
    </row>
    <row r="672" customFormat="false" ht="18.7" hidden="false" customHeight="true" outlineLevel="0" collapsed="false">
      <c r="A672" s="1" t="n">
        <v>671</v>
      </c>
      <c r="B672" s="7" t="str">
        <f aca="false">HYPERLINK("https://mncourtfraud.com/file/MDL-17.zip","MDL-17.zip")</f>
        <v>MDL-17.zip</v>
      </c>
      <c r="C672" s="8" t="str">
        <f aca="false">HYPERLINK("https://mncourtfraud.com/file/27-CR-20-20851.pdf","27-CR-20-20851")</f>
        <v>27-CR-20-20851</v>
      </c>
      <c r="D672" s="3" t="s">
        <v>483</v>
      </c>
      <c r="E672" s="8" t="str">
        <f aca="false">HYPERLINK("https://mncourtfraud.com/file/MCRO_27-CR-20-20851_Notice of Hearing_2023-07-19_20240430090330.pdf","MCRO_27-CR-20-20851_Notice of Hearing_2023-07-19_20240430090330.pdf")</f>
        <v>MCRO_27-CR-20-20851_Notice of Hearing_2023-07-19_20240430090330.pdf</v>
      </c>
      <c r="F672" s="9" t="n">
        <v>45126</v>
      </c>
      <c r="G672" s="1" t="s">
        <v>521</v>
      </c>
      <c r="H672" s="3" t="s">
        <v>522</v>
      </c>
      <c r="I672" s="3" t="s">
        <v>523</v>
      </c>
    </row>
    <row r="673" customFormat="false" ht="18.7" hidden="false" customHeight="true" outlineLevel="0" collapsed="false">
      <c r="A673" s="1" t="n">
        <v>672</v>
      </c>
      <c r="B673" s="7" t="str">
        <f aca="false">HYPERLINK("https://mncourtfraud.com/file/MDL-17.zip","MDL-17.zip")</f>
        <v>MDL-17.zip</v>
      </c>
      <c r="C673" s="8" t="str">
        <f aca="false">HYPERLINK("https://mncourtfraud.com/file/27-CR-22-10055.pdf","27-CR-22-10055")</f>
        <v>27-CR-22-10055</v>
      </c>
      <c r="D673" s="3" t="s">
        <v>487</v>
      </c>
      <c r="E673" s="8" t="str">
        <f aca="false">HYPERLINK("https://mncourtfraud.com/file/MCRO_27-CR-22-10055_Notice of Hearing_2023-07-19_20240429152754.pdf","MCRO_27-CR-22-10055_Notice of Hearing_2023-07-19_20240429152754.pdf")</f>
        <v>MCRO_27-CR-22-10055_Notice of Hearing_2023-07-19_20240429152754.pdf</v>
      </c>
      <c r="F673" s="9" t="n">
        <v>45126</v>
      </c>
      <c r="G673" s="1" t="s">
        <v>521</v>
      </c>
      <c r="H673" s="3" t="s">
        <v>522</v>
      </c>
      <c r="I673" s="3" t="s">
        <v>523</v>
      </c>
    </row>
    <row r="674" customFormat="false" ht="18.7" hidden="false" customHeight="true" outlineLevel="0" collapsed="false">
      <c r="A674" s="1" t="n">
        <v>673</v>
      </c>
      <c r="F674" s="9"/>
    </row>
    <row r="675" customFormat="false" ht="18.7" hidden="false" customHeight="true" outlineLevel="0" collapsed="false">
      <c r="A675" s="1" t="n">
        <v>674</v>
      </c>
      <c r="B675" s="7" t="str">
        <f aca="false">HYPERLINK("https://mncourtfraud.com/file/MDL-18.zip","MDL-18.zip")</f>
        <v>MDL-18.zip</v>
      </c>
      <c r="C675" s="8" t="str">
        <f aca="false">HYPERLINK("https://mncourtfraud.com/file/27-CR-19-11566.pdf","27-CR-19-11566")</f>
        <v>27-CR-19-11566</v>
      </c>
      <c r="D675" s="3" t="s">
        <v>468</v>
      </c>
      <c r="E675" s="8" t="str">
        <f aca="false">HYPERLINK("https://mncourtfraud.com/file/MCRO_27-CR-19-11566_Notice of Hearing_2023-08-01_20240430091604.pdf","MCRO_27-CR-19-11566_Notice of Hearing_2023-08-01_20240430091604.pdf")</f>
        <v>MCRO_27-CR-19-11566_Notice of Hearing_2023-08-01_20240430091604.pdf</v>
      </c>
      <c r="F675" s="9" t="n">
        <v>45139</v>
      </c>
      <c r="G675" s="1" t="s">
        <v>524</v>
      </c>
      <c r="H675" s="3" t="s">
        <v>525</v>
      </c>
      <c r="I675" s="3" t="s">
        <v>526</v>
      </c>
    </row>
    <row r="676" customFormat="false" ht="18.7" hidden="false" customHeight="true" outlineLevel="0" collapsed="false">
      <c r="A676" s="1" t="n">
        <v>675</v>
      </c>
      <c r="B676" s="7" t="str">
        <f aca="false">HYPERLINK("https://mncourtfraud.com/file/MDL-18.zip","MDL-18.zip")</f>
        <v>MDL-18.zip</v>
      </c>
      <c r="C676" s="8" t="str">
        <f aca="false">HYPERLINK("https://mncourtfraud.com/file/27-CR-19-12130.pdf","27-CR-19-12130")</f>
        <v>27-CR-19-12130</v>
      </c>
      <c r="D676" s="3" t="s">
        <v>468</v>
      </c>
      <c r="E676" s="8" t="str">
        <f aca="false">HYPERLINK("https://mncourtfraud.com/file/MCRO_27-CR-19-12130_Notice of Hearing_2023-08-01_20240430091711.pdf","MCRO_27-CR-19-12130_Notice of Hearing_2023-08-01_20240430091711.pdf")</f>
        <v>MCRO_27-CR-19-12130_Notice of Hearing_2023-08-01_20240430091711.pdf</v>
      </c>
      <c r="F676" s="9" t="n">
        <v>45139</v>
      </c>
      <c r="G676" s="1" t="s">
        <v>524</v>
      </c>
      <c r="H676" s="3" t="s">
        <v>525</v>
      </c>
      <c r="I676" s="3" t="s">
        <v>526</v>
      </c>
    </row>
    <row r="677" customFormat="false" ht="18.7" hidden="false" customHeight="true" outlineLevel="0" collapsed="false">
      <c r="A677" s="1" t="n">
        <v>676</v>
      </c>
      <c r="B677" s="7" t="str">
        <f aca="false">HYPERLINK("https://mncourtfraud.com/file/MDL-18.zip","MDL-18.zip")</f>
        <v>MDL-18.zip</v>
      </c>
      <c r="C677" s="8" t="str">
        <f aca="false">HYPERLINK("https://mncourtfraud.com/file/27-CR-20-9036.pdf","27-CR-20-9036")</f>
        <v>27-CR-20-9036</v>
      </c>
      <c r="D677" s="3" t="s">
        <v>468</v>
      </c>
      <c r="E677" s="8" t="str">
        <f aca="false">HYPERLINK("https://mncourtfraud.com/file/MCRO_27-CR-20-9036_Notice of Hearing_2023-08-01_20240430085540.pdf","MCRO_27-CR-20-9036_Notice of Hearing_2023-08-01_20240430085540.pdf")</f>
        <v>MCRO_27-CR-20-9036_Notice of Hearing_2023-08-01_20240430085540.pdf</v>
      </c>
      <c r="F677" s="9" t="n">
        <v>45139</v>
      </c>
      <c r="G677" s="1" t="s">
        <v>524</v>
      </c>
      <c r="H677" s="3" t="s">
        <v>525</v>
      </c>
      <c r="I677" s="3" t="s">
        <v>526</v>
      </c>
    </row>
    <row r="678" customFormat="false" ht="18.7" hidden="false" customHeight="true" outlineLevel="0" collapsed="false">
      <c r="A678" s="1" t="n">
        <v>677</v>
      </c>
      <c r="B678" s="7" t="str">
        <f aca="false">HYPERLINK("https://mncourtfraud.com/file/MDL-18.zip","MDL-18.zip")</f>
        <v>MDL-18.zip</v>
      </c>
      <c r="C678" s="8" t="str">
        <f aca="false">HYPERLINK("https://mncourtfraud.com/file/27-CR-21-1230.pdf","27-CR-21-1230")</f>
        <v>27-CR-21-1230</v>
      </c>
      <c r="D678" s="3" t="s">
        <v>468</v>
      </c>
      <c r="E678" s="8" t="str">
        <f aca="false">HYPERLINK("https://mncourtfraud.com/file/MCRO_27-CR-21-1230_Notice of Hearing_2023-08-01_20240430075412.pdf","MCRO_27-CR-21-1230_Notice of Hearing_2023-08-01_20240430075412.pdf")</f>
        <v>MCRO_27-CR-21-1230_Notice of Hearing_2023-08-01_20240430075412.pdf</v>
      </c>
      <c r="F678" s="9" t="n">
        <v>45139</v>
      </c>
      <c r="G678" s="1" t="s">
        <v>524</v>
      </c>
      <c r="H678" s="3" t="s">
        <v>525</v>
      </c>
      <c r="I678" s="3" t="s">
        <v>526</v>
      </c>
    </row>
    <row r="679" customFormat="false" ht="18.7" hidden="false" customHeight="true" outlineLevel="0" collapsed="false">
      <c r="A679" s="1" t="n">
        <v>678</v>
      </c>
      <c r="B679" s="7" t="str">
        <f aca="false">HYPERLINK("https://mncourtfraud.com/file/MDL-18.zip","MDL-18.zip")</f>
        <v>MDL-18.zip</v>
      </c>
      <c r="C679" s="8" t="str">
        <f aca="false">HYPERLINK("https://mncourtfraud.com/file/27-CR-21-13752.pdf","27-CR-21-13752")</f>
        <v>27-CR-21-13752</v>
      </c>
      <c r="D679" s="3" t="s">
        <v>468</v>
      </c>
      <c r="E679" s="8" t="str">
        <f aca="false">HYPERLINK("https://mncourtfraud.com/file/MCRO_27-CR-21-13752_Notice of Hearing_2023-08-01_20240430082325.pdf","MCRO_27-CR-21-13752_Notice of Hearing_2023-08-01_20240430082325.pdf")</f>
        <v>MCRO_27-CR-21-13752_Notice of Hearing_2023-08-01_20240430082325.pdf</v>
      </c>
      <c r="F679" s="9" t="n">
        <v>45139</v>
      </c>
      <c r="G679" s="1" t="s">
        <v>524</v>
      </c>
      <c r="H679" s="3" t="s">
        <v>525</v>
      </c>
      <c r="I679" s="3" t="s">
        <v>526</v>
      </c>
    </row>
    <row r="680" customFormat="false" ht="18.7" hidden="false" customHeight="true" outlineLevel="0" collapsed="false">
      <c r="A680" s="1" t="n">
        <v>679</v>
      </c>
      <c r="F680" s="9"/>
    </row>
    <row r="681" customFormat="false" ht="18.7" hidden="false" customHeight="true" outlineLevel="0" collapsed="false">
      <c r="A681" s="1" t="n">
        <v>680</v>
      </c>
      <c r="B681" s="7" t="str">
        <f aca="false">HYPERLINK("https://mncourtfraud.com/file/MDL-19.zip","MDL-19.zip")</f>
        <v>MDL-19.zip</v>
      </c>
      <c r="C681" s="8" t="str">
        <f aca="false">HYPERLINK("https://mncourtfraud.com/file/27-CR-19-11566.pdf","27-CR-19-11566")</f>
        <v>27-CR-19-11566</v>
      </c>
      <c r="D681" s="3" t="s">
        <v>468</v>
      </c>
      <c r="E681" s="8" t="str">
        <f aca="false">HYPERLINK("https://mncourtfraud.com/file/MCRO_27-CR-19-11566_Notice of Remote Hearing with Instructions_2023-09-19_20240430091603.pdf","MCRO_27-CR-19-11566_Notice of Remote Hearing with Instructions_2023-09-19_20240430091603.pdf")</f>
        <v>MCRO_27-CR-19-11566_Notice of Remote Hearing with Instructions_2023-09-19_20240430091603.pdf</v>
      </c>
      <c r="F681" s="9" t="n">
        <v>45188</v>
      </c>
      <c r="G681" s="1" t="s">
        <v>527</v>
      </c>
      <c r="H681" s="3" t="s">
        <v>528</v>
      </c>
      <c r="I681" s="3" t="s">
        <v>529</v>
      </c>
    </row>
    <row r="682" customFormat="false" ht="18.7" hidden="false" customHeight="true" outlineLevel="0" collapsed="false">
      <c r="A682" s="1" t="n">
        <v>681</v>
      </c>
      <c r="B682" s="7" t="str">
        <f aca="false">HYPERLINK("https://mncourtfraud.com/file/MDL-19.zip","MDL-19.zip")</f>
        <v>MDL-19.zip</v>
      </c>
      <c r="C682" s="8" t="str">
        <f aca="false">HYPERLINK("https://mncourtfraud.com/file/27-CR-19-12130.pdf","27-CR-19-12130")</f>
        <v>27-CR-19-12130</v>
      </c>
      <c r="D682" s="3" t="s">
        <v>468</v>
      </c>
      <c r="E682" s="8" t="str">
        <f aca="false">HYPERLINK("https://mncourtfraud.com/file/MCRO_27-CR-19-12130_Notice of Remote Hearing with Instructions_2023-09-19_20240430091710.pdf","MCRO_27-CR-19-12130_Notice of Remote Hearing with Instructions_2023-09-19_20240430091710.pdf")</f>
        <v>MCRO_27-CR-19-12130_Notice of Remote Hearing with Instructions_2023-09-19_20240430091710.pdf</v>
      </c>
      <c r="F682" s="9" t="n">
        <v>45188</v>
      </c>
      <c r="G682" s="1" t="s">
        <v>527</v>
      </c>
      <c r="H682" s="3" t="s">
        <v>528</v>
      </c>
      <c r="I682" s="3" t="s">
        <v>529</v>
      </c>
    </row>
    <row r="683" customFormat="false" ht="18.7" hidden="false" customHeight="true" outlineLevel="0" collapsed="false">
      <c r="A683" s="1" t="n">
        <v>682</v>
      </c>
      <c r="B683" s="7" t="str">
        <f aca="false">HYPERLINK("https://mncourtfraud.com/file/MDL-19.zip","MDL-19.zip")</f>
        <v>MDL-19.zip</v>
      </c>
      <c r="C683" s="8" t="str">
        <f aca="false">HYPERLINK("https://mncourtfraud.com/file/27-CR-20-9036.pdf","27-CR-20-9036")</f>
        <v>27-CR-20-9036</v>
      </c>
      <c r="D683" s="3" t="s">
        <v>468</v>
      </c>
      <c r="E683" s="8" t="str">
        <f aca="false">HYPERLINK("https://mncourtfraud.com/file/MCRO_27-CR-20-9036_Notice of Remote Hearing with Instructions_2023-09-19_20240430085539.pdf","MCRO_27-CR-20-9036_Notice of Remote Hearing with Instructions_2023-09-19_20240430085539.pdf")</f>
        <v>MCRO_27-CR-20-9036_Notice of Remote Hearing with Instructions_2023-09-19_20240430085539.pdf</v>
      </c>
      <c r="F683" s="9" t="n">
        <v>45188</v>
      </c>
      <c r="G683" s="1" t="s">
        <v>527</v>
      </c>
      <c r="H683" s="3" t="s">
        <v>528</v>
      </c>
      <c r="I683" s="3" t="s">
        <v>529</v>
      </c>
    </row>
    <row r="684" customFormat="false" ht="18.7" hidden="false" customHeight="true" outlineLevel="0" collapsed="false">
      <c r="A684" s="1" t="n">
        <v>683</v>
      </c>
      <c r="B684" s="7" t="str">
        <f aca="false">HYPERLINK("https://mncourtfraud.com/file/MDL-19.zip","MDL-19.zip")</f>
        <v>MDL-19.zip</v>
      </c>
      <c r="C684" s="8" t="str">
        <f aca="false">HYPERLINK("https://mncourtfraud.com/file/27-CR-21-1230.pdf","27-CR-21-1230")</f>
        <v>27-CR-21-1230</v>
      </c>
      <c r="D684" s="3" t="s">
        <v>468</v>
      </c>
      <c r="E684" s="8" t="str">
        <f aca="false">HYPERLINK("https://mncourtfraud.com/file/MCRO_27-CR-21-1230_Notice of Remote Hearing with Instructions_2023-09-19_20240430075411.pdf","MCRO_27-CR-21-1230_Notice of Remote Hearing with Instructions_2023-09-19_20240430075411.pdf")</f>
        <v>MCRO_27-CR-21-1230_Notice of Remote Hearing with Instructions_2023-09-19_20240430075411.pdf</v>
      </c>
      <c r="F684" s="9" t="n">
        <v>45188</v>
      </c>
      <c r="G684" s="1" t="s">
        <v>527</v>
      </c>
      <c r="H684" s="3" t="s">
        <v>528</v>
      </c>
      <c r="I684" s="3" t="s">
        <v>529</v>
      </c>
    </row>
    <row r="685" customFormat="false" ht="18.7" hidden="false" customHeight="true" outlineLevel="0" collapsed="false">
      <c r="A685" s="1" t="n">
        <v>684</v>
      </c>
      <c r="B685" s="7" t="str">
        <f aca="false">HYPERLINK("https://mncourtfraud.com/file/MDL-19.zip","MDL-19.zip")</f>
        <v>MDL-19.zip</v>
      </c>
      <c r="C685" s="8" t="str">
        <f aca="false">HYPERLINK("https://mncourtfraud.com/file/27-CR-21-13752.pdf","27-CR-21-13752")</f>
        <v>27-CR-21-13752</v>
      </c>
      <c r="D685" s="3" t="s">
        <v>468</v>
      </c>
      <c r="E685" s="8" t="str">
        <f aca="false">HYPERLINK("https://mncourtfraud.com/file/MCRO_27-CR-21-13752_Notice of Remote Hearing with Instructions_2023-09-19_20240430082324.pdf","MCRO_27-CR-21-13752_Notice of Remote Hearing with Instructions_2023-09-19_20240430082324.pdf")</f>
        <v>MCRO_27-CR-21-13752_Notice of Remote Hearing with Instructions_2023-09-19_20240430082324.pdf</v>
      </c>
      <c r="F685" s="9" t="n">
        <v>45188</v>
      </c>
      <c r="G685" s="1" t="s">
        <v>527</v>
      </c>
      <c r="H685" s="3" t="s">
        <v>528</v>
      </c>
      <c r="I685" s="3" t="s">
        <v>529</v>
      </c>
    </row>
    <row r="686" customFormat="false" ht="18.7" hidden="false" customHeight="true" outlineLevel="0" collapsed="false">
      <c r="A686" s="1" t="n">
        <v>685</v>
      </c>
      <c r="B686" s="7" t="str">
        <f aca="false">HYPERLINK("https://mncourtfraud.com/file/MDL-19.zip","MDL-19.zip")</f>
        <v>MDL-19.zip</v>
      </c>
      <c r="C686" s="8" t="str">
        <f aca="false">HYPERLINK("https://mncourtfraud.com/file/27-CR-20-20851.pdf","27-CR-20-20851")</f>
        <v>27-CR-20-20851</v>
      </c>
      <c r="D686" s="3" t="s">
        <v>483</v>
      </c>
      <c r="E686" s="8" t="str">
        <f aca="false">HYPERLINK("https://mncourtfraud.com/file/MCRO_27-CR-20-20851_Notice of Remote Hearing with Instructions_2023-09-19_20240430090328.pdf","MCRO_27-CR-20-20851_Notice of Remote Hearing with Instructions_2023-09-19_20240430090328.pdf")</f>
        <v>MCRO_27-CR-20-20851_Notice of Remote Hearing with Instructions_2023-09-19_20240430090328.pdf</v>
      </c>
      <c r="F686" s="9" t="n">
        <v>45188</v>
      </c>
      <c r="G686" s="1" t="s">
        <v>527</v>
      </c>
      <c r="H686" s="3" t="s">
        <v>528</v>
      </c>
      <c r="I686" s="3" t="s">
        <v>529</v>
      </c>
    </row>
    <row r="687" customFormat="false" ht="18.7" hidden="false" customHeight="true" outlineLevel="0" collapsed="false">
      <c r="A687" s="1" t="n">
        <v>686</v>
      </c>
      <c r="B687" s="7" t="str">
        <f aca="false">HYPERLINK("https://mncourtfraud.com/file/MDL-19.zip","MDL-19.zip")</f>
        <v>MDL-19.zip</v>
      </c>
      <c r="C687" s="8" t="str">
        <f aca="false">HYPERLINK("https://mncourtfraud.com/file/27-CR-22-10055.pdf","27-CR-22-10055")</f>
        <v>27-CR-22-10055</v>
      </c>
      <c r="D687" s="3" t="s">
        <v>487</v>
      </c>
      <c r="E687" s="8" t="str">
        <f aca="false">HYPERLINK("https://mncourtfraud.com/file/MCRO_27-CR-22-10055_Notice of Remote Hearing with Instructions_2023-09-19_20240429152753.pdf","MCRO_27-CR-22-10055_Notice of Remote Hearing with Instructions_2023-09-19_20240429152753.pdf")</f>
        <v>MCRO_27-CR-22-10055_Notice of Remote Hearing with Instructions_2023-09-19_20240429152753.pdf</v>
      </c>
      <c r="F687" s="9" t="n">
        <v>45188</v>
      </c>
      <c r="G687" s="1" t="s">
        <v>527</v>
      </c>
      <c r="H687" s="3" t="s">
        <v>528</v>
      </c>
      <c r="I687" s="3" t="s">
        <v>529</v>
      </c>
    </row>
    <row r="688" customFormat="false" ht="18.7" hidden="false" customHeight="true" outlineLevel="0" collapsed="false">
      <c r="A688" s="1" t="n">
        <v>687</v>
      </c>
      <c r="F688" s="9"/>
    </row>
    <row r="689" customFormat="false" ht="18.7" hidden="false" customHeight="true" outlineLevel="0" collapsed="false">
      <c r="A689" s="1" t="n">
        <v>688</v>
      </c>
      <c r="B689" s="7" t="str">
        <f aca="false">HYPERLINK("https://mncourtfraud.com/file/MDL-20.zip","MDL-20.zip")</f>
        <v>MDL-20.zip</v>
      </c>
      <c r="C689" s="8" t="str">
        <f aca="false">HYPERLINK("https://mncourtfraud.com/file/27-CR-19-11566.pdf","27-CR-19-11566")</f>
        <v>27-CR-19-11566</v>
      </c>
      <c r="D689" s="3" t="s">
        <v>468</v>
      </c>
      <c r="E689" s="8" t="str">
        <f aca="false">HYPERLINK("https://mncourtfraud.com/file/MCRO_27-CR-19-11566_Notice of Hearing_2023-09-22_20240430091602.pdf","MCRO_27-CR-19-11566_Notice of Hearing_2023-09-22_20240430091602.pdf")</f>
        <v>MCRO_27-CR-19-11566_Notice of Hearing_2023-09-22_20240430091602.pdf</v>
      </c>
      <c r="F689" s="9" t="n">
        <v>45191</v>
      </c>
      <c r="G689" s="1" t="s">
        <v>530</v>
      </c>
      <c r="H689" s="3" t="s">
        <v>531</v>
      </c>
      <c r="I689" s="3" t="s">
        <v>532</v>
      </c>
    </row>
    <row r="690" customFormat="false" ht="18.7" hidden="false" customHeight="true" outlineLevel="0" collapsed="false">
      <c r="A690" s="1" t="n">
        <v>689</v>
      </c>
      <c r="B690" s="7" t="str">
        <f aca="false">HYPERLINK("https://mncourtfraud.com/file/MDL-20.zip","MDL-20.zip")</f>
        <v>MDL-20.zip</v>
      </c>
      <c r="C690" s="8" t="str">
        <f aca="false">HYPERLINK("https://mncourtfraud.com/file/27-CR-19-12130.pdf","27-CR-19-12130")</f>
        <v>27-CR-19-12130</v>
      </c>
      <c r="D690" s="3" t="s">
        <v>468</v>
      </c>
      <c r="E690" s="8" t="str">
        <f aca="false">HYPERLINK("https://mncourtfraud.com/file/MCRO_27-CR-19-12130_Notice of Hearing_2023-09-22_20240430091709.pdf","MCRO_27-CR-19-12130_Notice of Hearing_2023-09-22_20240430091709.pdf")</f>
        <v>MCRO_27-CR-19-12130_Notice of Hearing_2023-09-22_20240430091709.pdf</v>
      </c>
      <c r="F690" s="9" t="n">
        <v>45191</v>
      </c>
      <c r="G690" s="1" t="s">
        <v>530</v>
      </c>
      <c r="H690" s="3" t="s">
        <v>531</v>
      </c>
      <c r="I690" s="3" t="s">
        <v>532</v>
      </c>
    </row>
    <row r="691" customFormat="false" ht="18.7" hidden="false" customHeight="true" outlineLevel="0" collapsed="false">
      <c r="A691" s="1" t="n">
        <v>690</v>
      </c>
      <c r="B691" s="7" t="str">
        <f aca="false">HYPERLINK("https://mncourtfraud.com/file/MDL-20.zip","MDL-20.zip")</f>
        <v>MDL-20.zip</v>
      </c>
      <c r="C691" s="8" t="str">
        <f aca="false">HYPERLINK("https://mncourtfraud.com/file/27-CR-20-9036.pdf","27-CR-20-9036")</f>
        <v>27-CR-20-9036</v>
      </c>
      <c r="D691" s="3" t="s">
        <v>468</v>
      </c>
      <c r="E691" s="8" t="str">
        <f aca="false">HYPERLINK("https://mncourtfraud.com/file/MCRO_27-CR-20-9036_Notice of Hearing_2023-09-22_20240430085538.pdf","MCRO_27-CR-20-9036_Notice of Hearing_2023-09-22_20240430085538.pdf")</f>
        <v>MCRO_27-CR-20-9036_Notice of Hearing_2023-09-22_20240430085538.pdf</v>
      </c>
      <c r="F691" s="9" t="n">
        <v>45191</v>
      </c>
      <c r="G691" s="1" t="s">
        <v>530</v>
      </c>
      <c r="H691" s="3" t="s">
        <v>531</v>
      </c>
      <c r="I691" s="3" t="s">
        <v>532</v>
      </c>
    </row>
    <row r="692" customFormat="false" ht="18.7" hidden="false" customHeight="true" outlineLevel="0" collapsed="false">
      <c r="A692" s="1" t="n">
        <v>691</v>
      </c>
      <c r="B692" s="7" t="str">
        <f aca="false">HYPERLINK("https://mncourtfraud.com/file/MDL-20.zip","MDL-20.zip")</f>
        <v>MDL-20.zip</v>
      </c>
      <c r="C692" s="8" t="str">
        <f aca="false">HYPERLINK("https://mncourtfraud.com/file/27-CR-21-1230.pdf","27-CR-21-1230")</f>
        <v>27-CR-21-1230</v>
      </c>
      <c r="D692" s="3" t="s">
        <v>468</v>
      </c>
      <c r="E692" s="8" t="str">
        <f aca="false">HYPERLINK("https://mncourtfraud.com/file/MCRO_27-CR-21-1230_Notice of Hearing_2023-09-22_20240430075410.pdf","MCRO_27-CR-21-1230_Notice of Hearing_2023-09-22_20240430075410.pdf")</f>
        <v>MCRO_27-CR-21-1230_Notice of Hearing_2023-09-22_20240430075410.pdf</v>
      </c>
      <c r="F692" s="9" t="n">
        <v>45191</v>
      </c>
      <c r="G692" s="1" t="s">
        <v>530</v>
      </c>
      <c r="H692" s="3" t="s">
        <v>531</v>
      </c>
      <c r="I692" s="3" t="s">
        <v>532</v>
      </c>
    </row>
    <row r="693" customFormat="false" ht="18.7" hidden="false" customHeight="true" outlineLevel="0" collapsed="false">
      <c r="A693" s="1" t="n">
        <v>692</v>
      </c>
      <c r="B693" s="7" t="str">
        <f aca="false">HYPERLINK("https://mncourtfraud.com/file/MDL-20.zip","MDL-20.zip")</f>
        <v>MDL-20.zip</v>
      </c>
      <c r="C693" s="8" t="str">
        <f aca="false">HYPERLINK("https://mncourtfraud.com/file/27-CR-21-13752.pdf","27-CR-21-13752")</f>
        <v>27-CR-21-13752</v>
      </c>
      <c r="D693" s="3" t="s">
        <v>468</v>
      </c>
      <c r="E693" s="8" t="str">
        <f aca="false">HYPERLINK("https://mncourtfraud.com/file/MCRO_27-CR-21-13752_Notice of Hearing_2023-09-22_20240430082322.pdf","MCRO_27-CR-21-13752_Notice of Hearing_2023-09-22_20240430082322.pdf")</f>
        <v>MCRO_27-CR-21-13752_Notice of Hearing_2023-09-22_20240430082322.pdf</v>
      </c>
      <c r="F693" s="9" t="n">
        <v>45191</v>
      </c>
      <c r="G693" s="1" t="s">
        <v>530</v>
      </c>
      <c r="H693" s="3" t="s">
        <v>531</v>
      </c>
      <c r="I693" s="3" t="s">
        <v>532</v>
      </c>
    </row>
    <row r="694" customFormat="false" ht="18.7" hidden="false" customHeight="true" outlineLevel="0" collapsed="false">
      <c r="A694" s="1" t="n">
        <v>693</v>
      </c>
      <c r="F694" s="9"/>
    </row>
    <row r="695" customFormat="false" ht="18.7" hidden="false" customHeight="true" outlineLevel="0" collapsed="false">
      <c r="A695" s="1" t="n">
        <v>694</v>
      </c>
      <c r="B695" s="7" t="str">
        <f aca="false">HYPERLINK("https://mncourtfraud.com/file/MDL-21.zip","MDL-21.zip")</f>
        <v>MDL-21.zip</v>
      </c>
      <c r="C695" s="8" t="str">
        <f aca="false">HYPERLINK("https://mncourtfraud.com/file/27-CR-19-11566.pdf","27-CR-19-11566")</f>
        <v>27-CR-19-11566</v>
      </c>
      <c r="D695" s="3" t="s">
        <v>468</v>
      </c>
      <c r="E695" s="8" t="str">
        <f aca="false">HYPERLINK("https://mncourtfraud.com/file/MCRO_27-CR-19-11566_Order-Evaluation for Competency to Proceed (Rule 20.01)_2023-10-10_20240430091601.pdf","MCRO_27-CR-19-11566_Order-Evaluation for Competency to Proceed (Rule 20.01)_2023-10-10_20240430091601.pdf")</f>
        <v>MCRO_27-CR-19-11566_Order-Evaluation for Competency to Proceed (Rule 20.01)_2023-10-10_20240430091601.pdf</v>
      </c>
      <c r="F695" s="9" t="n">
        <v>45209</v>
      </c>
      <c r="G695" s="1" t="s">
        <v>533</v>
      </c>
      <c r="H695" s="3" t="s">
        <v>534</v>
      </c>
      <c r="I695" s="3" t="s">
        <v>535</v>
      </c>
    </row>
    <row r="696" customFormat="false" ht="18.7" hidden="false" customHeight="true" outlineLevel="0" collapsed="false">
      <c r="A696" s="1" t="n">
        <v>695</v>
      </c>
      <c r="B696" s="7" t="str">
        <f aca="false">HYPERLINK("https://mncourtfraud.com/file/MDL-21.zip","MDL-21.zip")</f>
        <v>MDL-21.zip</v>
      </c>
      <c r="C696" s="8" t="str">
        <f aca="false">HYPERLINK("https://mncourtfraud.com/file/27-CR-19-12130.pdf","27-CR-19-12130")</f>
        <v>27-CR-19-12130</v>
      </c>
      <c r="D696" s="3" t="s">
        <v>468</v>
      </c>
      <c r="E696" s="8" t="str">
        <f aca="false">HYPERLINK("https://mncourtfraud.com/file/MCRO_27-CR-19-12130_Order-Evaluation for Competency to Proceed (Rule 20.01)_2023-10-10_20240430091708.pdf","MCRO_27-CR-19-12130_Order-Evaluation for Competency to Proceed (Rule 20.01)_2023-10-10_20240430091708.pdf")</f>
        <v>MCRO_27-CR-19-12130_Order-Evaluation for Competency to Proceed (Rule 20.01)_2023-10-10_20240430091708.pdf</v>
      </c>
      <c r="F696" s="9" t="n">
        <v>45209</v>
      </c>
      <c r="G696" s="1" t="s">
        <v>533</v>
      </c>
      <c r="H696" s="3" t="s">
        <v>534</v>
      </c>
      <c r="I696" s="3" t="s">
        <v>535</v>
      </c>
    </row>
    <row r="697" customFormat="false" ht="18.7" hidden="false" customHeight="true" outlineLevel="0" collapsed="false">
      <c r="A697" s="1" t="n">
        <v>696</v>
      </c>
      <c r="B697" s="7" t="str">
        <f aca="false">HYPERLINK("https://mncourtfraud.com/file/MDL-21.zip","MDL-21.zip")</f>
        <v>MDL-21.zip</v>
      </c>
      <c r="C697" s="8" t="str">
        <f aca="false">HYPERLINK("https://mncourtfraud.com/file/27-CR-20-9036.pdf","27-CR-20-9036")</f>
        <v>27-CR-20-9036</v>
      </c>
      <c r="D697" s="3" t="s">
        <v>468</v>
      </c>
      <c r="E697" s="8" t="str">
        <f aca="false">HYPERLINK("https://mncourtfraud.com/file/MCRO_27-CR-20-9036_Order-Evaluation for Competency to Proceed (Rule 20.01)_2023-10-10_20240430085537.pdf","MCRO_27-CR-20-9036_Order-Evaluation for Competency to Proceed (Rule 20.01)_2023-10-10_20240430085537.pdf")</f>
        <v>MCRO_27-CR-20-9036_Order-Evaluation for Competency to Proceed (Rule 20.01)_2023-10-10_20240430085537.pdf</v>
      </c>
      <c r="F697" s="9" t="n">
        <v>45209</v>
      </c>
      <c r="G697" s="1" t="s">
        <v>533</v>
      </c>
      <c r="H697" s="3" t="s">
        <v>534</v>
      </c>
      <c r="I697" s="3" t="s">
        <v>535</v>
      </c>
    </row>
    <row r="698" customFormat="false" ht="18.7" hidden="false" customHeight="true" outlineLevel="0" collapsed="false">
      <c r="A698" s="1" t="n">
        <v>697</v>
      </c>
      <c r="B698" s="7" t="str">
        <f aca="false">HYPERLINK("https://mncourtfraud.com/file/MDL-21.zip","MDL-21.zip")</f>
        <v>MDL-21.zip</v>
      </c>
      <c r="C698" s="8" t="str">
        <f aca="false">HYPERLINK("https://mncourtfraud.com/file/27-CR-21-1230.pdf","27-CR-21-1230")</f>
        <v>27-CR-21-1230</v>
      </c>
      <c r="D698" s="3" t="s">
        <v>468</v>
      </c>
      <c r="E698" s="8" t="str">
        <f aca="false">HYPERLINK("https://mncourtfraud.com/file/MCRO_27-CR-21-1230_Order-Evaluation for Competency to Proceed (Rule 20.01)_2023-10-10_20240430075409.pdf","MCRO_27-CR-21-1230_Order-Evaluation for Competency to Proceed (Rule 20.01)_2023-10-10_20240430075409.pdf")</f>
        <v>MCRO_27-CR-21-1230_Order-Evaluation for Competency to Proceed (Rule 20.01)_2023-10-10_20240430075409.pdf</v>
      </c>
      <c r="F698" s="9" t="n">
        <v>45209</v>
      </c>
      <c r="G698" s="1" t="s">
        <v>533</v>
      </c>
      <c r="H698" s="3" t="s">
        <v>534</v>
      </c>
      <c r="I698" s="3" t="s">
        <v>535</v>
      </c>
    </row>
    <row r="699" customFormat="false" ht="18.7" hidden="false" customHeight="true" outlineLevel="0" collapsed="false">
      <c r="A699" s="1" t="n">
        <v>698</v>
      </c>
      <c r="B699" s="7" t="str">
        <f aca="false">HYPERLINK("https://mncourtfraud.com/file/MDL-21.zip","MDL-21.zip")</f>
        <v>MDL-21.zip</v>
      </c>
      <c r="C699" s="8" t="str">
        <f aca="false">HYPERLINK("https://mncourtfraud.com/file/27-CR-21-13752.pdf","27-CR-21-13752")</f>
        <v>27-CR-21-13752</v>
      </c>
      <c r="D699" s="3" t="s">
        <v>468</v>
      </c>
      <c r="E699" s="8" t="str">
        <f aca="false">HYPERLINK("https://mncourtfraud.com/file/MCRO_27-CR-21-13752_Order-Evaluation for Competency to Proceed (Rule 20.01)_2023-10-10_20240430082321.pdf","MCRO_27-CR-21-13752_Order-Evaluation for Competency to Proceed (Rule 20.01)_2023-10-10_20240430082321.pdf")</f>
        <v>MCRO_27-CR-21-13752_Order-Evaluation for Competency to Proceed (Rule 20.01)_2023-10-10_20240430082321.pdf</v>
      </c>
      <c r="F699" s="9" t="n">
        <v>45209</v>
      </c>
      <c r="G699" s="1" t="s">
        <v>533</v>
      </c>
      <c r="H699" s="3" t="s">
        <v>534</v>
      </c>
      <c r="I699" s="3" t="s">
        <v>535</v>
      </c>
    </row>
    <row r="700" customFormat="false" ht="18.7" hidden="false" customHeight="true" outlineLevel="0" collapsed="false">
      <c r="A700" s="1" t="n">
        <v>699</v>
      </c>
      <c r="B700" s="7" t="str">
        <f aca="false">HYPERLINK("https://mncourtfraud.com/file/MDL-21.zip","MDL-21.zip")</f>
        <v>MDL-21.zip</v>
      </c>
      <c r="C700" s="8" t="str">
        <f aca="false">HYPERLINK("https://mncourtfraud.com/file/27-CR-20-20851.pdf","27-CR-20-20851")</f>
        <v>27-CR-20-20851</v>
      </c>
      <c r="D700" s="3" t="s">
        <v>483</v>
      </c>
      <c r="E700" s="8" t="str">
        <f aca="false">HYPERLINK("https://mncourtfraud.com/file/MCRO_27-CR-20-20851_Order-Evaluation for Competency to Proceed (Rule 20.01)_2023-10-10_20240430090325.pdf","MCRO_27-CR-20-20851_Order-Evaluation for Competency to Proceed (Rule 20.01)_2023-10-10_20240430090325.pdf")</f>
        <v>MCRO_27-CR-20-20851_Order-Evaluation for Competency to Proceed (Rule 20.01)_2023-10-10_20240430090325.pdf</v>
      </c>
      <c r="F700" s="9" t="n">
        <v>45209</v>
      </c>
      <c r="G700" s="1" t="s">
        <v>533</v>
      </c>
      <c r="H700" s="3" t="s">
        <v>534</v>
      </c>
      <c r="I700" s="3" t="s">
        <v>535</v>
      </c>
    </row>
    <row r="701" customFormat="false" ht="18.7" hidden="false" customHeight="true" outlineLevel="0" collapsed="false">
      <c r="A701" s="1" t="n">
        <v>700</v>
      </c>
      <c r="B701" s="7" t="str">
        <f aca="false">HYPERLINK("https://mncourtfraud.com/file/MDL-21.zip","MDL-21.zip")</f>
        <v>MDL-21.zip</v>
      </c>
      <c r="C701" s="8" t="str">
        <f aca="false">HYPERLINK("https://mncourtfraud.com/file/27-CR-22-10055.pdf","27-CR-22-10055")</f>
        <v>27-CR-22-10055</v>
      </c>
      <c r="D701" s="3" t="s">
        <v>487</v>
      </c>
      <c r="E701" s="8" t="str">
        <f aca="false">HYPERLINK("https://mncourtfraud.com/file/MCRO_27-CR-22-10055_Order-Evaluation for Competency to Proceed (Rule 20.01)_2023-10-10_20240429152748.pdf","MCRO_27-CR-22-10055_Order-Evaluation for Competency to Proceed (Rule 20.01)_2023-10-10_20240429152748.pdf")</f>
        <v>MCRO_27-CR-22-10055_Order-Evaluation for Competency to Proceed (Rule 20.01)_2023-10-10_20240429152748.pdf</v>
      </c>
      <c r="F701" s="9" t="n">
        <v>45209</v>
      </c>
      <c r="G701" s="1" t="s">
        <v>533</v>
      </c>
      <c r="H701" s="3" t="s">
        <v>534</v>
      </c>
      <c r="I701" s="3" t="s">
        <v>535</v>
      </c>
    </row>
    <row r="702" customFormat="false" ht="18.7" hidden="false" customHeight="true" outlineLevel="0" collapsed="false">
      <c r="A702" s="1" t="n">
        <v>701</v>
      </c>
      <c r="F702" s="9"/>
    </row>
    <row r="703" customFormat="false" ht="18.7" hidden="false" customHeight="true" outlineLevel="0" collapsed="false">
      <c r="A703" s="1" t="n">
        <v>702</v>
      </c>
      <c r="B703" s="7" t="str">
        <f aca="false">HYPERLINK("https://mncourtfraud.com/file/MDL-22.zip","MDL-22.zip")</f>
        <v>MDL-22.zip</v>
      </c>
      <c r="C703" s="8" t="str">
        <f aca="false">HYPERLINK("https://mncourtfraud.com/file/27-CR-19-11566.pdf","27-CR-19-11566")</f>
        <v>27-CR-19-11566</v>
      </c>
      <c r="D703" s="3" t="s">
        <v>468</v>
      </c>
      <c r="E703" s="8" t="str">
        <f aca="false">HYPERLINK("https://mncourtfraud.com/file/MCRO_27-CR-19-11566_Notice of Remote Hearing with Instructions_2023-12-12_20240430091600.pdf","MCRO_27-CR-19-11566_Notice of Remote Hearing with Instructions_2023-12-12_20240430091600.pdf")</f>
        <v>MCRO_27-CR-19-11566_Notice of Remote Hearing with Instructions_2023-12-12_20240430091600.pdf</v>
      </c>
      <c r="F703" s="9" t="n">
        <v>45272</v>
      </c>
      <c r="G703" s="1" t="s">
        <v>536</v>
      </c>
      <c r="H703" s="3" t="s">
        <v>537</v>
      </c>
      <c r="I703" s="3" t="s">
        <v>538</v>
      </c>
    </row>
    <row r="704" customFormat="false" ht="18.7" hidden="false" customHeight="true" outlineLevel="0" collapsed="false">
      <c r="A704" s="1" t="n">
        <v>703</v>
      </c>
      <c r="B704" s="7" t="str">
        <f aca="false">HYPERLINK("https://mncourtfraud.com/file/MDL-22.zip","MDL-22.zip")</f>
        <v>MDL-22.zip</v>
      </c>
      <c r="C704" s="8" t="str">
        <f aca="false">HYPERLINK("https://mncourtfraud.com/file/27-CR-19-12130.pdf","27-CR-19-12130")</f>
        <v>27-CR-19-12130</v>
      </c>
      <c r="D704" s="3" t="s">
        <v>468</v>
      </c>
      <c r="E704" s="8" t="str">
        <f aca="false">HYPERLINK("https://mncourtfraud.com/file/MCRO_27-CR-19-12130_Notice of Remote Hearing with Instructions_2023-12-12_20240430091707.pdf","MCRO_27-CR-19-12130_Notice of Remote Hearing with Instructions_2023-12-12_20240430091707.pdf")</f>
        <v>MCRO_27-CR-19-12130_Notice of Remote Hearing with Instructions_2023-12-12_20240430091707.pdf</v>
      </c>
      <c r="F704" s="9" t="n">
        <v>45272</v>
      </c>
      <c r="G704" s="1" t="s">
        <v>536</v>
      </c>
      <c r="H704" s="3" t="s">
        <v>537</v>
      </c>
      <c r="I704" s="3" t="s">
        <v>538</v>
      </c>
    </row>
    <row r="705" customFormat="false" ht="18.7" hidden="false" customHeight="true" outlineLevel="0" collapsed="false">
      <c r="A705" s="1" t="n">
        <v>704</v>
      </c>
      <c r="B705" s="7" t="str">
        <f aca="false">HYPERLINK("https://mncourtfraud.com/file/MDL-22.zip","MDL-22.zip")</f>
        <v>MDL-22.zip</v>
      </c>
      <c r="C705" s="8" t="str">
        <f aca="false">HYPERLINK("https://mncourtfraud.com/file/27-CR-20-9036.pdf","27-CR-20-9036")</f>
        <v>27-CR-20-9036</v>
      </c>
      <c r="D705" s="3" t="s">
        <v>468</v>
      </c>
      <c r="E705" s="8" t="str">
        <f aca="false">HYPERLINK("https://mncourtfraud.com/file/MCRO_27-CR-20-9036_Notice of Remote Hearing with Instructions_2023-12-12_20240430085536.pdf","MCRO_27-CR-20-9036_Notice of Remote Hearing with Instructions_2023-12-12_20240430085536.pdf")</f>
        <v>MCRO_27-CR-20-9036_Notice of Remote Hearing with Instructions_2023-12-12_20240430085536.pdf</v>
      </c>
      <c r="F705" s="9" t="n">
        <v>45272</v>
      </c>
      <c r="G705" s="1" t="s">
        <v>536</v>
      </c>
      <c r="H705" s="3" t="s">
        <v>537</v>
      </c>
      <c r="I705" s="3" t="s">
        <v>538</v>
      </c>
    </row>
    <row r="706" customFormat="false" ht="18.7" hidden="false" customHeight="true" outlineLevel="0" collapsed="false">
      <c r="A706" s="1" t="n">
        <v>705</v>
      </c>
      <c r="B706" s="7" t="str">
        <f aca="false">HYPERLINK("https://mncourtfraud.com/file/MDL-22.zip","MDL-22.zip")</f>
        <v>MDL-22.zip</v>
      </c>
      <c r="C706" s="8" t="str">
        <f aca="false">HYPERLINK("https://mncourtfraud.com/file/27-CR-21-1230.pdf","27-CR-21-1230")</f>
        <v>27-CR-21-1230</v>
      </c>
      <c r="D706" s="3" t="s">
        <v>468</v>
      </c>
      <c r="E706" s="8" t="str">
        <f aca="false">HYPERLINK("https://mncourtfraud.com/file/MCRO_27-CR-21-1230_Notice of Remote Hearing with Instructions_2023-12-12_20240430075408.pdf","MCRO_27-CR-21-1230_Notice of Remote Hearing with Instructions_2023-12-12_20240430075408.pdf")</f>
        <v>MCRO_27-CR-21-1230_Notice of Remote Hearing with Instructions_2023-12-12_20240430075408.pdf</v>
      </c>
      <c r="F706" s="9" t="n">
        <v>45272</v>
      </c>
      <c r="G706" s="1" t="s">
        <v>536</v>
      </c>
      <c r="H706" s="3" t="s">
        <v>537</v>
      </c>
      <c r="I706" s="3" t="s">
        <v>538</v>
      </c>
    </row>
    <row r="707" customFormat="false" ht="18.7" hidden="false" customHeight="true" outlineLevel="0" collapsed="false">
      <c r="A707" s="1" t="n">
        <v>706</v>
      </c>
      <c r="B707" s="7" t="str">
        <f aca="false">HYPERLINK("https://mncourtfraud.com/file/MDL-22.zip","MDL-22.zip")</f>
        <v>MDL-22.zip</v>
      </c>
      <c r="C707" s="8" t="str">
        <f aca="false">HYPERLINK("https://mncourtfraud.com/file/27-CR-21-13752.pdf","27-CR-21-13752")</f>
        <v>27-CR-21-13752</v>
      </c>
      <c r="D707" s="3" t="s">
        <v>468</v>
      </c>
      <c r="E707" s="8" t="str">
        <f aca="false">HYPERLINK("https://mncourtfraud.com/file/MCRO_27-CR-21-13752_Notice of Remote Hearing with Instructions_2023-12-12_20240430082320.pdf","MCRO_27-CR-21-13752_Notice of Remote Hearing with Instructions_2023-12-12_20240430082320.pdf")</f>
        <v>MCRO_27-CR-21-13752_Notice of Remote Hearing with Instructions_2023-12-12_20240430082320.pdf</v>
      </c>
      <c r="F707" s="9" t="n">
        <v>45272</v>
      </c>
      <c r="G707" s="1" t="s">
        <v>536</v>
      </c>
      <c r="H707" s="3" t="s">
        <v>537</v>
      </c>
      <c r="I707" s="3" t="s">
        <v>538</v>
      </c>
    </row>
    <row r="708" customFormat="false" ht="18.7" hidden="false" customHeight="true" outlineLevel="0" collapsed="false">
      <c r="A708" s="1" t="n">
        <v>707</v>
      </c>
      <c r="B708" s="7" t="str">
        <f aca="false">HYPERLINK("https://mncourtfraud.com/file/MDL-22.zip","MDL-22.zip")</f>
        <v>MDL-22.zip</v>
      </c>
      <c r="C708" s="8" t="str">
        <f aca="false">HYPERLINK("https://mncourtfraud.com/file/27-CR-20-20851.pdf","27-CR-20-20851")</f>
        <v>27-CR-20-20851</v>
      </c>
      <c r="D708" s="3" t="s">
        <v>483</v>
      </c>
      <c r="E708" s="8" t="str">
        <f aca="false">HYPERLINK("https://mncourtfraud.com/file/MCRO_27-CR-20-20851_Notice of Remote Hearing with Instructions_2023-12-12_20240430090324.pdf","MCRO_27-CR-20-20851_Notice of Remote Hearing with Instructions_2023-12-12_20240430090324.pdf")</f>
        <v>MCRO_27-CR-20-20851_Notice of Remote Hearing with Instructions_2023-12-12_20240430090324.pdf</v>
      </c>
      <c r="F708" s="9" t="n">
        <v>45272</v>
      </c>
      <c r="G708" s="1" t="s">
        <v>536</v>
      </c>
      <c r="H708" s="3" t="s">
        <v>537</v>
      </c>
      <c r="I708" s="3" t="s">
        <v>538</v>
      </c>
    </row>
    <row r="709" customFormat="false" ht="18.7" hidden="false" customHeight="true" outlineLevel="0" collapsed="false">
      <c r="A709" s="1" t="n">
        <v>708</v>
      </c>
      <c r="B709" s="7" t="str">
        <f aca="false">HYPERLINK("https://mncourtfraud.com/file/MDL-22.zip","MDL-22.zip")</f>
        <v>MDL-22.zip</v>
      </c>
      <c r="C709" s="8" t="str">
        <f aca="false">HYPERLINK("https://mncourtfraud.com/file/27-CR-22-10055.pdf","27-CR-22-10055")</f>
        <v>27-CR-22-10055</v>
      </c>
      <c r="D709" s="3" t="s">
        <v>487</v>
      </c>
      <c r="E709" s="8" t="str">
        <f aca="false">HYPERLINK("https://mncourtfraud.com/file/MCRO_27-CR-22-10055_Notice of Remote Hearing with Instructions_2023-12-12_20240429152747.pdf","MCRO_27-CR-22-10055_Notice of Remote Hearing with Instructions_2023-12-12_20240429152747.pdf")</f>
        <v>MCRO_27-CR-22-10055_Notice of Remote Hearing with Instructions_2023-12-12_20240429152747.pdf</v>
      </c>
      <c r="F709" s="9" t="n">
        <v>45272</v>
      </c>
      <c r="G709" s="1" t="s">
        <v>536</v>
      </c>
      <c r="H709" s="3" t="s">
        <v>537</v>
      </c>
      <c r="I709" s="3" t="s">
        <v>538</v>
      </c>
    </row>
    <row r="710" customFormat="false" ht="18.7" hidden="false" customHeight="true" outlineLevel="0" collapsed="false">
      <c r="A710" s="1" t="n">
        <v>709</v>
      </c>
      <c r="F710" s="9"/>
    </row>
    <row r="711" customFormat="false" ht="18.7" hidden="false" customHeight="true" outlineLevel="0" collapsed="false">
      <c r="A711" s="1" t="n">
        <v>710</v>
      </c>
      <c r="B711" s="7" t="str">
        <f aca="false">HYPERLINK("https://mncourtfraud.com/file/MDL-23.zip","MDL-23.zip")</f>
        <v>MDL-23.zip</v>
      </c>
      <c r="C711" s="8" t="str">
        <f aca="false">HYPERLINK("https://mncourtfraud.com/file/27-CR-20-20851.pdf","27-CR-20-20851")</f>
        <v>27-CR-20-20851</v>
      </c>
      <c r="D711" s="3" t="s">
        <v>483</v>
      </c>
      <c r="E711" s="8" t="str">
        <f aca="false">HYPERLINK("https://mncourtfraud.com/file/MCRO_27-CR-20-20851_Notice of Hearing_2023-12-12_20240430090323.pdf","MCRO_27-CR-20-20851_Notice of Hearing_2023-12-12_20240430090323.pdf")</f>
        <v>MCRO_27-CR-20-20851_Notice of Hearing_2023-12-12_20240430090323.pdf</v>
      </c>
      <c r="F711" s="9" t="n">
        <v>45272</v>
      </c>
      <c r="G711" s="1" t="s">
        <v>539</v>
      </c>
      <c r="H711" s="3" t="s">
        <v>540</v>
      </c>
      <c r="I711" s="3" t="s">
        <v>541</v>
      </c>
    </row>
    <row r="712" customFormat="false" ht="18.7" hidden="false" customHeight="true" outlineLevel="0" collapsed="false">
      <c r="A712" s="1" t="n">
        <v>711</v>
      </c>
      <c r="B712" s="7" t="str">
        <f aca="false">HYPERLINK("https://mncourtfraud.com/file/MDL-23.zip","MDL-23.zip")</f>
        <v>MDL-23.zip</v>
      </c>
      <c r="C712" s="8" t="str">
        <f aca="false">HYPERLINK("https://mncourtfraud.com/file/27-CR-22-10055.pdf","27-CR-22-10055")</f>
        <v>27-CR-22-10055</v>
      </c>
      <c r="D712" s="3" t="s">
        <v>487</v>
      </c>
      <c r="E712" s="8" t="str">
        <f aca="false">HYPERLINK("https://mncourtfraud.com/file/MCRO_27-CR-22-10055_Notice of Hearing_2023-12-12_20240429152747.pdf","MCRO_27-CR-22-10055_Notice of Hearing_2023-12-12_20240429152747.pdf")</f>
        <v>MCRO_27-CR-22-10055_Notice of Hearing_2023-12-12_20240429152747.pdf</v>
      </c>
      <c r="F712" s="9" t="n">
        <v>45272</v>
      </c>
      <c r="G712" s="1" t="s">
        <v>539</v>
      </c>
      <c r="H712" s="3" t="s">
        <v>540</v>
      </c>
      <c r="I712" s="3" t="s">
        <v>541</v>
      </c>
    </row>
    <row r="713" customFormat="false" ht="18.7" hidden="false" customHeight="true" outlineLevel="0" collapsed="false">
      <c r="A713" s="1" t="n">
        <v>712</v>
      </c>
      <c r="F713" s="9"/>
    </row>
    <row r="714" customFormat="false" ht="18.7" hidden="false" customHeight="true" outlineLevel="0" collapsed="false">
      <c r="A714" s="1" t="n">
        <v>713</v>
      </c>
      <c r="B714" s="7" t="str">
        <f aca="false">HYPERLINK("https://mncourtfraud.com/file/MDL-24.zip","MDL-24.zip")</f>
        <v>MDL-24.zip</v>
      </c>
      <c r="C714" s="8" t="str">
        <f aca="false">HYPERLINK("https://mncourtfraud.com/file/27-CR-19-11566.pdf","27-CR-19-11566")</f>
        <v>27-CR-19-11566</v>
      </c>
      <c r="D714" s="3" t="s">
        <v>468</v>
      </c>
      <c r="E714" s="8" t="str">
        <f aca="false">HYPERLINK("https://mncourtfraud.com/file/MCRO_27-CR-19-11566_Notice of Hearing_2023-12-14_20240430091558.pdf","MCRO_27-CR-19-11566_Notice of Hearing_2023-12-14_20240430091558.pdf")</f>
        <v>MCRO_27-CR-19-11566_Notice of Hearing_2023-12-14_20240430091558.pdf</v>
      </c>
      <c r="F714" s="9" t="n">
        <v>45274</v>
      </c>
      <c r="G714" s="1" t="s">
        <v>542</v>
      </c>
      <c r="H714" s="3" t="s">
        <v>543</v>
      </c>
      <c r="I714" s="3" t="s">
        <v>544</v>
      </c>
    </row>
    <row r="715" customFormat="false" ht="18.7" hidden="false" customHeight="true" outlineLevel="0" collapsed="false">
      <c r="A715" s="1" t="n">
        <v>714</v>
      </c>
      <c r="B715" s="7" t="str">
        <f aca="false">HYPERLINK("https://mncourtfraud.com/file/MDL-24.zip","MDL-24.zip")</f>
        <v>MDL-24.zip</v>
      </c>
      <c r="C715" s="8" t="str">
        <f aca="false">HYPERLINK("https://mncourtfraud.com/file/27-CR-19-12130.pdf","27-CR-19-12130")</f>
        <v>27-CR-19-12130</v>
      </c>
      <c r="D715" s="3" t="s">
        <v>468</v>
      </c>
      <c r="E715" s="8" t="str">
        <f aca="false">HYPERLINK("https://mncourtfraud.com/file/MCRO_27-CR-19-12130_Notice of Hearing_2023-12-14_20240430091706.pdf","MCRO_27-CR-19-12130_Notice of Hearing_2023-12-14_20240430091706.pdf")</f>
        <v>MCRO_27-CR-19-12130_Notice of Hearing_2023-12-14_20240430091706.pdf</v>
      </c>
      <c r="F715" s="9" t="n">
        <v>45274</v>
      </c>
      <c r="G715" s="1" t="s">
        <v>542</v>
      </c>
      <c r="H715" s="3" t="s">
        <v>543</v>
      </c>
      <c r="I715" s="3" t="s">
        <v>544</v>
      </c>
    </row>
    <row r="716" customFormat="false" ht="18.7" hidden="false" customHeight="true" outlineLevel="0" collapsed="false">
      <c r="A716" s="1" t="n">
        <v>715</v>
      </c>
      <c r="B716" s="7" t="str">
        <f aca="false">HYPERLINK("https://mncourtfraud.com/file/MDL-24.zip","MDL-24.zip")</f>
        <v>MDL-24.zip</v>
      </c>
      <c r="C716" s="8" t="str">
        <f aca="false">HYPERLINK("https://mncourtfraud.com/file/27-CR-20-9036.pdf","27-CR-20-9036")</f>
        <v>27-CR-20-9036</v>
      </c>
      <c r="D716" s="3" t="s">
        <v>468</v>
      </c>
      <c r="E716" s="8" t="str">
        <f aca="false">HYPERLINK("https://mncourtfraud.com/file/MCRO_27-CR-20-9036_Notice of Hearing_2023-12-14_20240430085535.pdf","MCRO_27-CR-20-9036_Notice of Hearing_2023-12-14_20240430085535.pdf")</f>
        <v>MCRO_27-CR-20-9036_Notice of Hearing_2023-12-14_20240430085535.pdf</v>
      </c>
      <c r="F716" s="9" t="n">
        <v>45274</v>
      </c>
      <c r="G716" s="1" t="s">
        <v>542</v>
      </c>
      <c r="H716" s="3" t="s">
        <v>543</v>
      </c>
      <c r="I716" s="3" t="s">
        <v>544</v>
      </c>
    </row>
    <row r="717" customFormat="false" ht="18.7" hidden="false" customHeight="true" outlineLevel="0" collapsed="false">
      <c r="A717" s="1" t="n">
        <v>716</v>
      </c>
      <c r="B717" s="7" t="str">
        <f aca="false">HYPERLINK("https://mncourtfraud.com/file/MDL-24.zip","MDL-24.zip")</f>
        <v>MDL-24.zip</v>
      </c>
      <c r="C717" s="8" t="str">
        <f aca="false">HYPERLINK("https://mncourtfraud.com/file/27-CR-21-1230.pdf","27-CR-21-1230")</f>
        <v>27-CR-21-1230</v>
      </c>
      <c r="D717" s="3" t="s">
        <v>468</v>
      </c>
      <c r="E717" s="8" t="str">
        <f aca="false">HYPERLINK("https://mncourtfraud.com/file/MCRO_27-CR-21-1230_Notice of Hearing_2023-12-14_20240430075407.pdf","MCRO_27-CR-21-1230_Notice of Hearing_2023-12-14_20240430075407.pdf")</f>
        <v>MCRO_27-CR-21-1230_Notice of Hearing_2023-12-14_20240430075407.pdf</v>
      </c>
      <c r="F717" s="9" t="n">
        <v>45274</v>
      </c>
      <c r="G717" s="1" t="s">
        <v>542</v>
      </c>
      <c r="H717" s="3" t="s">
        <v>543</v>
      </c>
      <c r="I717" s="3" t="s">
        <v>544</v>
      </c>
    </row>
    <row r="718" customFormat="false" ht="18.7" hidden="false" customHeight="true" outlineLevel="0" collapsed="false">
      <c r="A718" s="1" t="n">
        <v>717</v>
      </c>
      <c r="B718" s="7" t="str">
        <f aca="false">HYPERLINK("https://mncourtfraud.com/file/MDL-24.zip","MDL-24.zip")</f>
        <v>MDL-24.zip</v>
      </c>
      <c r="C718" s="8" t="str">
        <f aca="false">HYPERLINK("https://mncourtfraud.com/file/27-CR-21-13752.pdf","27-CR-21-13752")</f>
        <v>27-CR-21-13752</v>
      </c>
      <c r="D718" s="3" t="s">
        <v>468</v>
      </c>
      <c r="E718" s="8" t="str">
        <f aca="false">HYPERLINK("https://mncourtfraud.com/file/MCRO_27-CR-21-13752_Notice of Hearing_2023-12-14_20240430082319.pdf","MCRO_27-CR-21-13752_Notice of Hearing_2023-12-14_20240430082319.pdf")</f>
        <v>MCRO_27-CR-21-13752_Notice of Hearing_2023-12-14_20240430082319.pdf</v>
      </c>
      <c r="F718" s="9" t="n">
        <v>45274</v>
      </c>
      <c r="G718" s="1" t="s">
        <v>542</v>
      </c>
      <c r="H718" s="3" t="s">
        <v>543</v>
      </c>
      <c r="I718" s="3" t="s">
        <v>544</v>
      </c>
    </row>
    <row r="719" customFormat="false" ht="18.7" hidden="false" customHeight="true" outlineLevel="0" collapsed="false">
      <c r="A719" s="1" t="n">
        <v>718</v>
      </c>
      <c r="F719" s="9"/>
    </row>
    <row r="720" customFormat="false" ht="18.7" hidden="false" customHeight="true" outlineLevel="0" collapsed="false">
      <c r="A720" s="1" t="n">
        <v>719</v>
      </c>
      <c r="B720" s="7" t="str">
        <f aca="false">HYPERLINK("https://mncourtfraud.com/file/MDL-25.zip","MDL-25.zip")</f>
        <v>MDL-25.zip</v>
      </c>
      <c r="C720" s="8" t="str">
        <f aca="false">HYPERLINK("https://mncourtfraud.com/file/27-CR-19-11566.pdf","27-CR-19-11566")</f>
        <v>27-CR-19-11566</v>
      </c>
      <c r="D720" s="3" t="s">
        <v>468</v>
      </c>
      <c r="E720" s="8" t="str">
        <f aca="false">HYPERLINK("https://mncourtfraud.com/file/MCRO_27-CR-19-11566_Notice of Case Reassignment_2023-12-27_20240430091557.pdf","MCRO_27-CR-19-11566_Notice of Case Reassignment_2023-12-27_20240430091557.pdf")</f>
        <v>MCRO_27-CR-19-11566_Notice of Case Reassignment_2023-12-27_20240430091557.pdf</v>
      </c>
      <c r="F720" s="9" t="n">
        <v>45287</v>
      </c>
      <c r="G720" s="1" t="s">
        <v>545</v>
      </c>
      <c r="H720" s="3" t="s">
        <v>546</v>
      </c>
      <c r="I720" s="3" t="s">
        <v>547</v>
      </c>
    </row>
    <row r="721" customFormat="false" ht="18.7" hidden="false" customHeight="true" outlineLevel="0" collapsed="false">
      <c r="A721" s="1" t="n">
        <v>720</v>
      </c>
      <c r="B721" s="7" t="str">
        <f aca="false">HYPERLINK("https://mncourtfraud.com/file/MDL-25.zip","MDL-25.zip")</f>
        <v>MDL-25.zip</v>
      </c>
      <c r="C721" s="8" t="str">
        <f aca="false">HYPERLINK("https://mncourtfraud.com/file/27-CR-19-12130.pdf","27-CR-19-12130")</f>
        <v>27-CR-19-12130</v>
      </c>
      <c r="D721" s="3" t="s">
        <v>468</v>
      </c>
      <c r="E721" s="8" t="str">
        <f aca="false">HYPERLINK("https://mncourtfraud.com/file/MCRO_27-CR-19-12130_Notice of Case Reassignment_2023-12-27_20240430091705.pdf","MCRO_27-CR-19-12130_Notice of Case Reassignment_2023-12-27_20240430091705.pdf")</f>
        <v>MCRO_27-CR-19-12130_Notice of Case Reassignment_2023-12-27_20240430091705.pdf</v>
      </c>
      <c r="F721" s="9" t="n">
        <v>45287</v>
      </c>
      <c r="G721" s="1" t="s">
        <v>545</v>
      </c>
      <c r="H721" s="3" t="s">
        <v>546</v>
      </c>
      <c r="I721" s="3" t="s">
        <v>548</v>
      </c>
    </row>
    <row r="722" customFormat="false" ht="18.7" hidden="false" customHeight="true" outlineLevel="0" collapsed="false">
      <c r="A722" s="1" t="n">
        <v>721</v>
      </c>
      <c r="B722" s="7" t="str">
        <f aca="false">HYPERLINK("https://mncourtfraud.com/file/MDL-25.zip","MDL-25.zip")</f>
        <v>MDL-25.zip</v>
      </c>
      <c r="C722" s="8" t="str">
        <f aca="false">HYPERLINK("https://mncourtfraud.com/file/27-CR-20-9036.pdf","27-CR-20-9036")</f>
        <v>27-CR-20-9036</v>
      </c>
      <c r="D722" s="3" t="s">
        <v>468</v>
      </c>
      <c r="E722" s="8" t="str">
        <f aca="false">HYPERLINK("https://mncourtfraud.com/file/MCRO_27-CR-20-9036_Notice of Case Reassignment_2023-12-27_20240430085532.pdf","MCRO_27-CR-20-9036_Notice of Case Reassignment_2023-12-27_20240430085532.pdf")</f>
        <v>MCRO_27-CR-20-9036_Notice of Case Reassignment_2023-12-27_20240430085532.pdf</v>
      </c>
      <c r="F722" s="9" t="n">
        <v>45287</v>
      </c>
      <c r="G722" s="1" t="s">
        <v>545</v>
      </c>
      <c r="H722" s="3" t="s">
        <v>546</v>
      </c>
      <c r="I722" s="3" t="s">
        <v>549</v>
      </c>
    </row>
    <row r="723" customFormat="false" ht="18.7" hidden="false" customHeight="true" outlineLevel="0" collapsed="false">
      <c r="A723" s="1" t="n">
        <v>722</v>
      </c>
      <c r="B723" s="7" t="str">
        <f aca="false">HYPERLINK("https://mncourtfraud.com/file/MDL-25.zip","MDL-25.zip")</f>
        <v>MDL-25.zip</v>
      </c>
      <c r="C723" s="8" t="str">
        <f aca="false">HYPERLINK("https://mncourtfraud.com/file/27-CR-21-1230.pdf","27-CR-21-1230")</f>
        <v>27-CR-21-1230</v>
      </c>
      <c r="D723" s="3" t="s">
        <v>468</v>
      </c>
      <c r="E723" s="8" t="str">
        <f aca="false">HYPERLINK("https://mncourtfraud.com/file/MCRO_27-CR-21-1230_Notice of Case Reassignment_2023-12-27_20240430075406.pdf","MCRO_27-CR-21-1230_Notice of Case Reassignment_2023-12-27_20240430075406.pdf")</f>
        <v>MCRO_27-CR-21-1230_Notice of Case Reassignment_2023-12-27_20240430075406.pdf</v>
      </c>
      <c r="F723" s="9" t="n">
        <v>45287</v>
      </c>
      <c r="G723" s="1" t="s">
        <v>545</v>
      </c>
      <c r="H723" s="3" t="s">
        <v>546</v>
      </c>
      <c r="I723" s="3" t="s">
        <v>550</v>
      </c>
    </row>
    <row r="724" customFormat="false" ht="18.7" hidden="false" customHeight="true" outlineLevel="0" collapsed="false">
      <c r="A724" s="1" t="n">
        <v>723</v>
      </c>
      <c r="B724" s="7" t="str">
        <f aca="false">HYPERLINK("https://mncourtfraud.com/file/MDL-25.zip","MDL-25.zip")</f>
        <v>MDL-25.zip</v>
      </c>
      <c r="C724" s="8" t="str">
        <f aca="false">HYPERLINK("https://mncourtfraud.com/file/27-CR-21-13752.pdf","27-CR-21-13752")</f>
        <v>27-CR-21-13752</v>
      </c>
      <c r="D724" s="3" t="s">
        <v>468</v>
      </c>
      <c r="E724" s="8" t="str">
        <f aca="false">HYPERLINK("https://mncourtfraud.com/file/MCRO_27-CR-21-13752_Notice of Case Reassignment_2023-12-27_20240430082318.pdf","MCRO_27-CR-21-13752_Notice of Case Reassignment_2023-12-27_20240430082318.pdf")</f>
        <v>MCRO_27-CR-21-13752_Notice of Case Reassignment_2023-12-27_20240430082318.pdf</v>
      </c>
      <c r="F724" s="9" t="n">
        <v>45287</v>
      </c>
      <c r="G724" s="1" t="s">
        <v>545</v>
      </c>
      <c r="H724" s="3" t="s">
        <v>546</v>
      </c>
      <c r="I724" s="3" t="s">
        <v>551</v>
      </c>
    </row>
    <row r="725" customFormat="false" ht="18.7" hidden="false" customHeight="true" outlineLevel="0" collapsed="false">
      <c r="A725" s="1" t="n">
        <v>724</v>
      </c>
      <c r="F725" s="9"/>
    </row>
    <row r="726" customFormat="false" ht="18.7" hidden="false" customHeight="true" outlineLevel="0" collapsed="false">
      <c r="A726" s="1" t="n">
        <v>725</v>
      </c>
      <c r="B726" s="7" t="str">
        <f aca="false">HYPERLINK("https://mncourtfraud.com/file/MDL-26.zip","MDL-26.zip")</f>
        <v>MDL-26.zip</v>
      </c>
      <c r="C726" s="8" t="str">
        <f aca="false">HYPERLINK("https://mncourtfraud.com/file/27-CR-20-20851.pdf","27-CR-20-20851")</f>
        <v>27-CR-20-20851</v>
      </c>
      <c r="D726" s="3" t="s">
        <v>483</v>
      </c>
      <c r="E726" s="8" t="str">
        <f aca="false">HYPERLINK("https://mncourtfraud.com/file/MCRO_27-CR-20-20851_Prosecutions Recommendation for Bail_2024-02-01_20240430090322.pdf","MCRO_27-CR-20-20851_Prosecutions Recommendation for Bail_2024-02-01_20240430090322.pdf")</f>
        <v>MCRO_27-CR-20-20851_Prosecutions Recommendation for Bail_2024-02-01_20240430090322.pdf</v>
      </c>
      <c r="F726" s="9" t="n">
        <v>45323</v>
      </c>
      <c r="G726" s="1" t="s">
        <v>552</v>
      </c>
      <c r="H726" s="3" t="s">
        <v>553</v>
      </c>
      <c r="I726" s="3" t="s">
        <v>554</v>
      </c>
    </row>
    <row r="727" customFormat="false" ht="18.7" hidden="false" customHeight="true" outlineLevel="0" collapsed="false">
      <c r="A727" s="1" t="n">
        <v>726</v>
      </c>
      <c r="B727" s="7" t="str">
        <f aca="false">HYPERLINK("https://mncourtfraud.com/file/MDL-26.zip","MDL-26.zip")</f>
        <v>MDL-26.zip</v>
      </c>
      <c r="C727" s="8" t="str">
        <f aca="false">HYPERLINK("https://mncourtfraud.com/file/27-CR-22-10055.pdf","27-CR-22-10055")</f>
        <v>27-CR-22-10055</v>
      </c>
      <c r="D727" s="3" t="s">
        <v>487</v>
      </c>
      <c r="E727" s="8" t="str">
        <f aca="false">HYPERLINK("https://mncourtfraud.com/file/MCRO_27-CR-22-10055_Prosecutions Recommendation for Bail_2024-02-01_20240429152745.pdf","MCRO_27-CR-22-10055_Prosecutions Recommendation for Bail_2024-02-01_20240429152745.pdf")</f>
        <v>MCRO_27-CR-22-10055_Prosecutions Recommendation for Bail_2024-02-01_20240429152745.pdf</v>
      </c>
      <c r="F727" s="9" t="n">
        <v>45323</v>
      </c>
      <c r="G727" s="1" t="s">
        <v>552</v>
      </c>
      <c r="H727" s="3" t="s">
        <v>553</v>
      </c>
      <c r="I727" s="3" t="s">
        <v>555</v>
      </c>
    </row>
    <row r="728" customFormat="false" ht="18.7" hidden="false" customHeight="true" outlineLevel="0" collapsed="false">
      <c r="A728" s="1" t="n">
        <v>727</v>
      </c>
      <c r="F728" s="9"/>
    </row>
    <row r="729" customFormat="false" ht="18.7" hidden="false" customHeight="true" outlineLevel="0" collapsed="false">
      <c r="A729" s="1" t="n">
        <v>728</v>
      </c>
      <c r="B729" s="7" t="str">
        <f aca="false">HYPERLINK("https://mncourtfraud.com/file/MDL-27.zip","MDL-27.zip")</f>
        <v>MDL-27.zip</v>
      </c>
      <c r="C729" s="8" t="str">
        <f aca="false">HYPERLINK("https://mncourtfraud.com/file/27-CR-21-1230.pdf","27-CR-21-1230")</f>
        <v>27-CR-21-1230</v>
      </c>
      <c r="D729" s="3" t="s">
        <v>468</v>
      </c>
      <c r="E729" s="8" t="str">
        <f aca="false">HYPERLINK("https://mncourtfraud.com/file/MCRO_27-CR-21-1230_Order Revoking Interim Conditions of Release_2024-04-05_20240430075402.pdf","MCRO_27-CR-21-1230_Order Revoking Interim Conditions of Release_2024-04-05_20240430075402.pdf")</f>
        <v>MCRO_27-CR-21-1230_Order Revoking Interim Conditions of Release_2024-04-05_20240430075402.pdf</v>
      </c>
      <c r="F729" s="9" t="n">
        <v>45387</v>
      </c>
      <c r="G729" s="1" t="s">
        <v>556</v>
      </c>
      <c r="H729" s="3" t="s">
        <v>557</v>
      </c>
      <c r="I729" s="3" t="s">
        <v>558</v>
      </c>
    </row>
    <row r="730" customFormat="false" ht="18.7" hidden="false" customHeight="true" outlineLevel="0" collapsed="false">
      <c r="A730" s="1" t="n">
        <v>729</v>
      </c>
      <c r="B730" s="7" t="str">
        <f aca="false">HYPERLINK("https://mncourtfraud.com/file/MDL-27.zip","MDL-27.zip")</f>
        <v>MDL-27.zip</v>
      </c>
      <c r="C730" s="8" t="str">
        <f aca="false">HYPERLINK("https://mncourtfraud.com/file/27-CR-21-1230.pdf","27-CR-21-1230")</f>
        <v>27-CR-21-1230</v>
      </c>
      <c r="D730" s="3" t="s">
        <v>468</v>
      </c>
      <c r="E730" s="8" t="str">
        <f aca="false">HYPERLINK("https://mncourtfraud.com/file/MCRO_27-CR-21-1230_Proposed Order or Document_2024-04-05_20240430075403.pdf","MCRO_27-CR-21-1230_Proposed Order or Document_2024-04-05_20240430075403.pdf")</f>
        <v>MCRO_27-CR-21-1230_Proposed Order or Document_2024-04-05_20240430075403.pdf</v>
      </c>
      <c r="F730" s="9" t="n">
        <v>45387</v>
      </c>
      <c r="G730" s="1" t="s">
        <v>556</v>
      </c>
      <c r="H730" s="3" t="s">
        <v>557</v>
      </c>
      <c r="I730" s="3" t="s">
        <v>559</v>
      </c>
    </row>
    <row r="731" customFormat="false" ht="18.7" hidden="false" customHeight="true" outlineLevel="0" collapsed="false">
      <c r="A731" s="1" t="n">
        <v>730</v>
      </c>
      <c r="F731" s="9"/>
    </row>
    <row r="732" customFormat="false" ht="18.7" hidden="false" customHeight="true" outlineLevel="0" collapsed="false">
      <c r="A732" s="1" t="n">
        <v>731</v>
      </c>
      <c r="B732" s="7" t="str">
        <f aca="false">HYPERLINK("https://mncourtfraud.com/file/MDL-28.zip","MDL-28.zip")</f>
        <v>MDL-28.zip</v>
      </c>
      <c r="C732" s="8" t="str">
        <f aca="false">HYPERLINK("https://mncourtfraud.com/file/27-CR-21-13752.pdf","27-CR-21-13752")</f>
        <v>27-CR-21-13752</v>
      </c>
      <c r="D732" s="3" t="s">
        <v>468</v>
      </c>
      <c r="E732" s="8" t="str">
        <f aca="false">HYPERLINK("https://mncourtfraud.com/file/MCRO_27-CR-21-13752_Order Revoking Interim Conditions of Release_2024-04-05_20240430082314.pdf","MCRO_27-CR-21-13752_Order Revoking Interim Conditions of Release_2024-04-05_20240430082314.pdf")</f>
        <v>MCRO_27-CR-21-13752_Order Revoking Interim Conditions of Release_2024-04-05_20240430082314.pdf</v>
      </c>
      <c r="F732" s="9" t="n">
        <v>45387</v>
      </c>
      <c r="G732" s="1" t="s">
        <v>560</v>
      </c>
      <c r="H732" s="3" t="s">
        <v>561</v>
      </c>
      <c r="I732" s="3" t="s">
        <v>562</v>
      </c>
    </row>
    <row r="733" customFormat="false" ht="18.7" hidden="false" customHeight="true" outlineLevel="0" collapsed="false">
      <c r="A733" s="1" t="n">
        <v>732</v>
      </c>
      <c r="B733" s="7" t="str">
        <f aca="false">HYPERLINK("https://mncourtfraud.com/file/MDL-28.zip","MDL-28.zip")</f>
        <v>MDL-28.zip</v>
      </c>
      <c r="C733" s="8" t="str">
        <f aca="false">HYPERLINK("https://mncourtfraud.com/file/27-CR-21-13752.pdf","27-CR-21-13752")</f>
        <v>27-CR-21-13752</v>
      </c>
      <c r="D733" s="3" t="s">
        <v>468</v>
      </c>
      <c r="E733" s="8" t="str">
        <f aca="false">HYPERLINK("https://mncourtfraud.com/file/MCRO_27-CR-21-13752_Proposed Order or Document_2024-04-05_20240430082315.pdf","MCRO_27-CR-21-13752_Proposed Order or Document_2024-04-05_20240430082315.pdf")</f>
        <v>MCRO_27-CR-21-13752_Proposed Order or Document_2024-04-05_20240430082315.pdf</v>
      </c>
      <c r="F733" s="9" t="n">
        <v>45387</v>
      </c>
      <c r="G733" s="1" t="s">
        <v>560</v>
      </c>
      <c r="H733" s="3" t="s">
        <v>561</v>
      </c>
      <c r="I733" s="3" t="s">
        <v>563</v>
      </c>
    </row>
    <row r="734" customFormat="false" ht="18.7" hidden="false" customHeight="true" outlineLevel="0" collapsed="false">
      <c r="A734" s="1" t="n">
        <v>733</v>
      </c>
      <c r="F734" s="9"/>
    </row>
    <row r="735" customFormat="false" ht="18.7" hidden="false" customHeight="true" outlineLevel="0" collapsed="false">
      <c r="A735" s="1" t="n">
        <v>734</v>
      </c>
      <c r="B735" s="7" t="str">
        <f aca="false">HYPERLINK("https://mncourtfraud.com/file/MDL-29.zip","MDL-29.zip")</f>
        <v>MDL-29.zip</v>
      </c>
      <c r="C735" s="8" t="str">
        <f aca="false">HYPERLINK("https://mncourtfraud.com/file/27-CR-21-1230.pdf","27-CR-21-1230")</f>
        <v>27-CR-21-1230</v>
      </c>
      <c r="D735" s="3" t="s">
        <v>468</v>
      </c>
      <c r="E735" s="8" t="str">
        <f aca="false">HYPERLINK("https://mncourtfraud.com/file/MCRO_27-CR-21-1230_Notice of Remote Hearing with Instructions_2024-04-09_20240430075401.pdf","MCRO_27-CR-21-1230_Notice of Remote Hearing with Instructions_2024-04-09_20240430075401.pdf")</f>
        <v>MCRO_27-CR-21-1230_Notice of Remote Hearing with Instructions_2024-04-09_20240430075401.pdf</v>
      </c>
      <c r="F735" s="9" t="n">
        <v>45391</v>
      </c>
      <c r="G735" s="1" t="s">
        <v>564</v>
      </c>
      <c r="H735" s="3" t="s">
        <v>565</v>
      </c>
      <c r="I735" s="3" t="s">
        <v>566</v>
      </c>
    </row>
    <row r="736" customFormat="false" ht="18.7" hidden="false" customHeight="true" outlineLevel="0" collapsed="false">
      <c r="A736" s="1" t="n">
        <v>735</v>
      </c>
      <c r="B736" s="7" t="str">
        <f aca="false">HYPERLINK("https://mncourtfraud.com/file/MDL-29.zip","MDL-29.zip")</f>
        <v>MDL-29.zip</v>
      </c>
      <c r="C736" s="8" t="str">
        <f aca="false">HYPERLINK("https://mncourtfraud.com/file/27-CR-21-13752.pdf","27-CR-21-13752")</f>
        <v>27-CR-21-13752</v>
      </c>
      <c r="D736" s="3" t="s">
        <v>468</v>
      </c>
      <c r="E736" s="8" t="str">
        <f aca="false">HYPERLINK("https://mncourtfraud.com/file/MCRO_27-CR-21-13752_Notice of Remote Hearing with Instructions_2024-04-09_20240430082313.pdf","MCRO_27-CR-21-13752_Notice of Remote Hearing with Instructions_2024-04-09_20240430082313.pdf")</f>
        <v>MCRO_27-CR-21-13752_Notice of Remote Hearing with Instructions_2024-04-09_20240430082313.pdf</v>
      </c>
      <c r="F736" s="9" t="n">
        <v>45391</v>
      </c>
      <c r="G736" s="1" t="s">
        <v>564</v>
      </c>
      <c r="H736" s="3" t="s">
        <v>565</v>
      </c>
      <c r="I736" s="3" t="s">
        <v>566</v>
      </c>
    </row>
    <row r="737" customFormat="false" ht="18.7" hidden="false" customHeight="true" outlineLevel="0" collapsed="false">
      <c r="A737" s="1" t="n">
        <v>736</v>
      </c>
      <c r="F737" s="9"/>
    </row>
    <row r="738" customFormat="false" ht="18.7" hidden="false" customHeight="true" outlineLevel="0" collapsed="false">
      <c r="A738" s="1" t="n">
        <v>737</v>
      </c>
      <c r="F738" s="9"/>
    </row>
    <row r="739" customFormat="false" ht="18.7" hidden="false" customHeight="true" outlineLevel="0" collapsed="false">
      <c r="A739" s="1" t="n">
        <v>738</v>
      </c>
      <c r="B739" s="7" t="str">
        <f aca="false">HYPERLINK("https://mncourtfraud.com/file/PJD-1.zip","PJD-1.zip")</f>
        <v>PJD-1.zip</v>
      </c>
      <c r="C739" s="8" t="str">
        <f aca="false">HYPERLINK("https://mncourtfraud.com/file/27-CR-22-4239.pdf","27-CR-22-4239")</f>
        <v>27-CR-22-4239</v>
      </c>
      <c r="D739" s="3" t="s">
        <v>567</v>
      </c>
      <c r="E739" s="8" t="str">
        <f aca="false">HYPERLINK("https://mncourtfraud.com/file/MCRO_27-CR-22-4239_Notice of Motion and Motion_2024-01-08_20240429035800.pdf","MCRO_27-CR-22-4239_Notice of Motion and Motion_2024-01-08_20240429035800.pdf")</f>
        <v>MCRO_27-CR-22-4239_Notice of Motion and Motion_2024-01-08_20240429035800.pdf</v>
      </c>
      <c r="F739" s="9" t="n">
        <v>45299</v>
      </c>
      <c r="G739" s="1" t="s">
        <v>568</v>
      </c>
      <c r="H739" s="3" t="s">
        <v>569</v>
      </c>
      <c r="I739" s="3" t="s">
        <v>570</v>
      </c>
    </row>
    <row r="740" customFormat="false" ht="18.7" hidden="false" customHeight="true" outlineLevel="0" collapsed="false">
      <c r="A740" s="1" t="n">
        <v>739</v>
      </c>
      <c r="B740" s="7" t="str">
        <f aca="false">HYPERLINK("https://mncourtfraud.com/file/PJD-1.zip","PJD-1.zip")</f>
        <v>PJD-1.zip</v>
      </c>
      <c r="C740" s="8" t="str">
        <f aca="false">HYPERLINK("https://mncourtfraud.com/file/27-CR-22-4239.pdf","27-CR-22-4239")</f>
        <v>27-CR-22-4239</v>
      </c>
      <c r="D740" s="3" t="s">
        <v>567</v>
      </c>
      <c r="E740" s="8" t="str">
        <f aca="false">HYPERLINK("https://mncourtfraud.com/file/MCRO_27-CR-22-4239_Order-Other_2024-01-09_20240429035758.pdf","MCRO_27-CR-22-4239_Order-Other_2024-01-09_20240429035758.pdf")</f>
        <v>MCRO_27-CR-22-4239_Order-Other_2024-01-09_20240429035758.pdf</v>
      </c>
      <c r="F740" s="9" t="n">
        <v>45300</v>
      </c>
      <c r="G740" s="1" t="s">
        <v>568</v>
      </c>
      <c r="H740" s="3" t="s">
        <v>571</v>
      </c>
      <c r="I740" s="3" t="s">
        <v>572</v>
      </c>
    </row>
    <row r="741" customFormat="false" ht="18.7" hidden="false" customHeight="true" outlineLevel="0" collapsed="false">
      <c r="A741" s="1" t="n">
        <v>740</v>
      </c>
      <c r="F741" s="9"/>
    </row>
    <row r="742" customFormat="false" ht="18.7" hidden="false" customHeight="true" outlineLevel="0" collapsed="false">
      <c r="A742" s="1" t="n">
        <v>741</v>
      </c>
      <c r="B742" s="7" t="str">
        <f aca="false">HYPERLINK("https://mncourtfraud.com/file/PJD-2.zip","PJD-2.zip")</f>
        <v>PJD-2.zip</v>
      </c>
      <c r="C742" s="8" t="str">
        <f aca="false">HYPERLINK("https://mncourtfraud.com/file/27-CR-21-6382.pdf","27-CR-21-6382")</f>
        <v>27-CR-21-6382</v>
      </c>
      <c r="D742" s="3" t="s">
        <v>567</v>
      </c>
      <c r="E742" s="8" t="str">
        <f aca="false">HYPERLINK("https://mncourtfraud.com/file/MCRO_27-CR-21-6382_Scheduling Order_2022-05-31_20240430080314.pdf","MCRO_27-CR-21-6382_Scheduling Order_2022-05-31_20240430080314.pdf")</f>
        <v>MCRO_27-CR-21-6382_Scheduling Order_2022-05-31_20240430080314.pdf</v>
      </c>
      <c r="F742" s="9" t="n">
        <v>44712</v>
      </c>
      <c r="G742" s="1" t="s">
        <v>573</v>
      </c>
      <c r="H742" s="3" t="s">
        <v>574</v>
      </c>
      <c r="I742" s="3" t="s">
        <v>575</v>
      </c>
      <c r="J742" s="3" t="s">
        <v>267</v>
      </c>
      <c r="K742" s="1" t="s">
        <v>576</v>
      </c>
      <c r="L742" s="3" t="s">
        <v>577</v>
      </c>
    </row>
    <row r="743" customFormat="false" ht="18.7" hidden="false" customHeight="true" outlineLevel="0" collapsed="false">
      <c r="A743" s="1" t="n">
        <v>742</v>
      </c>
      <c r="B743" s="7" t="str">
        <f aca="false">HYPERLINK("https://mncourtfraud.com/file/PJD-2.zip","PJD-2.zip")</f>
        <v>PJD-2.zip</v>
      </c>
      <c r="C743" s="8" t="str">
        <f aca="false">HYPERLINK("https://mncourtfraud.com/file/27-CR-22-4239.pdf","27-CR-22-4239")</f>
        <v>27-CR-22-4239</v>
      </c>
      <c r="D743" s="3" t="s">
        <v>567</v>
      </c>
      <c r="E743" s="8" t="str">
        <f aca="false">HYPERLINK("https://mncourtfraud.com/file/MCRO_27-CR-22-4239_Scheduling Order_2022-05-31_20240429035810.pdf","MCRO_27-CR-22-4239_Scheduling Order_2022-05-31_20240429035810.pdf")</f>
        <v>MCRO_27-CR-22-4239_Scheduling Order_2022-05-31_20240429035810.pdf</v>
      </c>
      <c r="F743" s="9" t="n">
        <v>44712</v>
      </c>
      <c r="G743" s="1" t="s">
        <v>573</v>
      </c>
      <c r="H743" s="3" t="s">
        <v>574</v>
      </c>
      <c r="I743" s="3" t="s">
        <v>575</v>
      </c>
      <c r="J743" s="3" t="s">
        <v>267</v>
      </c>
      <c r="K743" s="1" t="s">
        <v>576</v>
      </c>
      <c r="L743" s="3" t="s">
        <v>577</v>
      </c>
    </row>
    <row r="744" customFormat="false" ht="18.7" hidden="false" customHeight="true" outlineLevel="0" collapsed="false">
      <c r="A744" s="1" t="n">
        <v>743</v>
      </c>
      <c r="F744" s="9"/>
    </row>
    <row r="745" customFormat="false" ht="18.7" hidden="false" customHeight="true" outlineLevel="0" collapsed="false">
      <c r="A745" s="1" t="n">
        <v>744</v>
      </c>
      <c r="B745" s="7" t="str">
        <f aca="false">HYPERLINK("https://mncourtfraud.com/file/PJD-3.zip","PJD-3.zip")</f>
        <v>PJD-3.zip</v>
      </c>
      <c r="C745" s="8" t="str">
        <f aca="false">HYPERLINK("https://mncourtfraud.com/file/27-CR-20-6301.pdf","27-CR-20-6301")</f>
        <v>27-CR-20-6301</v>
      </c>
      <c r="D745" s="3" t="s">
        <v>567</v>
      </c>
      <c r="E745" s="8" t="str">
        <f aca="false">HYPERLINK("https://mncourtfraud.com/file/MCRO_27-CR-20-6301_Order-Evaluation for Competency to Proceed (Rule 20.01)_2023-06-05_20240430085133.pdf","MCRO_27-CR-20-6301_Order-Evaluation for Competency to Proceed (Rule 20.01)_2023-06-05_20240430085133.pdf")</f>
        <v>MCRO_27-CR-20-6301_Order-Evaluation for Competency to Proceed (Rule 20.01)_2023-06-05_20240430085133.pdf</v>
      </c>
      <c r="F745" s="9" t="n">
        <v>45082</v>
      </c>
      <c r="G745" s="1" t="s">
        <v>578</v>
      </c>
      <c r="H745" s="3" t="s">
        <v>579</v>
      </c>
      <c r="I745" s="3" t="s">
        <v>580</v>
      </c>
      <c r="J745" s="3" t="s">
        <v>267</v>
      </c>
      <c r="K745" s="1" t="s">
        <v>581</v>
      </c>
      <c r="L745" s="3" t="s">
        <v>582</v>
      </c>
    </row>
    <row r="746" customFormat="false" ht="18.7" hidden="false" customHeight="true" outlineLevel="0" collapsed="false">
      <c r="A746" s="1" t="n">
        <v>745</v>
      </c>
      <c r="B746" s="7" t="str">
        <f aca="false">HYPERLINK("https://mncourtfraud.com/file/PJD-3.zip","PJD-3.zip")</f>
        <v>PJD-3.zip</v>
      </c>
      <c r="C746" s="8" t="str">
        <f aca="false">HYPERLINK("https://mncourtfraud.com/file/27-CR-21-6382.pdf","27-CR-21-6382")</f>
        <v>27-CR-21-6382</v>
      </c>
      <c r="D746" s="3" t="s">
        <v>567</v>
      </c>
      <c r="E746" s="8" t="str">
        <f aca="false">HYPERLINK("https://mncourtfraud.com/file/MCRO_27-CR-21-6382_Order-Evaluation for Competency to Proceed (Rule 20.01)_2023-06-05_20240430080313.pdf","MCRO_27-CR-21-6382_Order-Evaluation for Competency to Proceed (Rule 20.01)_2023-06-05_20240430080313.pdf")</f>
        <v>MCRO_27-CR-21-6382_Order-Evaluation for Competency to Proceed (Rule 20.01)_2023-06-05_20240430080313.pdf</v>
      </c>
      <c r="F746" s="9" t="n">
        <v>45082</v>
      </c>
      <c r="G746" s="1" t="s">
        <v>578</v>
      </c>
      <c r="H746" s="3" t="s">
        <v>579</v>
      </c>
      <c r="I746" s="3" t="s">
        <v>580</v>
      </c>
      <c r="J746" s="3" t="s">
        <v>267</v>
      </c>
      <c r="K746" s="1" t="s">
        <v>581</v>
      </c>
      <c r="L746" s="3" t="s">
        <v>582</v>
      </c>
    </row>
    <row r="747" customFormat="false" ht="18.7" hidden="false" customHeight="true" outlineLevel="0" collapsed="false">
      <c r="A747" s="1" t="n">
        <v>746</v>
      </c>
      <c r="B747" s="7" t="str">
        <f aca="false">HYPERLINK("https://mncourtfraud.com/file/PJD-3.zip","PJD-3.zip")</f>
        <v>PJD-3.zip</v>
      </c>
      <c r="C747" s="8" t="str">
        <f aca="false">HYPERLINK("https://mncourtfraud.com/file/27-CR-21-928.pdf","27-CR-21-928")</f>
        <v>27-CR-21-928</v>
      </c>
      <c r="D747" s="3" t="s">
        <v>567</v>
      </c>
      <c r="E747" s="8" t="str">
        <f aca="false">HYPERLINK("https://mncourtfraud.com/file/MCRO_27-CR-21-928_Order-Evaluation for Competency to Proceed (Rule 20.01)_2023-06-05_20240430075148.pdf","MCRO_27-CR-21-928_Order-Evaluation for Competency to Proceed (Rule 20.01)_2023-06-05_20240430075148.pdf")</f>
        <v>MCRO_27-CR-21-928_Order-Evaluation for Competency to Proceed (Rule 20.01)_2023-06-05_20240430075148.pdf</v>
      </c>
      <c r="F747" s="9" t="n">
        <v>45082</v>
      </c>
      <c r="G747" s="1" t="s">
        <v>578</v>
      </c>
      <c r="H747" s="3" t="s">
        <v>579</v>
      </c>
      <c r="I747" s="3" t="s">
        <v>580</v>
      </c>
      <c r="J747" s="3" t="s">
        <v>267</v>
      </c>
      <c r="K747" s="1" t="s">
        <v>581</v>
      </c>
      <c r="L747" s="3" t="s">
        <v>582</v>
      </c>
    </row>
    <row r="748" customFormat="false" ht="18.7" hidden="false" customHeight="true" outlineLevel="0" collapsed="false">
      <c r="A748" s="1" t="n">
        <v>747</v>
      </c>
      <c r="B748" s="7" t="str">
        <f aca="false">HYPERLINK("https://mncourtfraud.com/file/PJD-3.zip","PJD-3.zip")</f>
        <v>PJD-3.zip</v>
      </c>
      <c r="C748" s="8" t="str">
        <f aca="false">HYPERLINK("https://mncourtfraud.com/file/27-CR-22-4239.pdf","27-CR-22-4239")</f>
        <v>27-CR-22-4239</v>
      </c>
      <c r="D748" s="3" t="s">
        <v>567</v>
      </c>
      <c r="E748" s="8" t="str">
        <f aca="false">HYPERLINK("https://mncourtfraud.com/file/MCRO_27-CR-22-4239_Order-Evaluation for Competency to Proceed (Rule 20.01)_2023-06-05_20240429035804.pdf","MCRO_27-CR-22-4239_Order-Evaluation for Competency to Proceed (Rule 20.01)_2023-06-05_20240429035804.pdf")</f>
        <v>MCRO_27-CR-22-4239_Order-Evaluation for Competency to Proceed (Rule 20.01)_2023-06-05_20240429035804.pdf</v>
      </c>
      <c r="F748" s="9" t="n">
        <v>45082</v>
      </c>
      <c r="G748" s="1" t="s">
        <v>578</v>
      </c>
      <c r="H748" s="3" t="s">
        <v>579</v>
      </c>
      <c r="I748" s="3" t="s">
        <v>580</v>
      </c>
      <c r="J748" s="3" t="s">
        <v>267</v>
      </c>
      <c r="K748" s="1" t="s">
        <v>581</v>
      </c>
      <c r="L748" s="3" t="s">
        <v>582</v>
      </c>
    </row>
    <row r="749" customFormat="false" ht="18.7" hidden="false" customHeight="true" outlineLevel="0" collapsed="false">
      <c r="A749" s="1" t="n">
        <v>748</v>
      </c>
      <c r="B749" s="7" t="str">
        <f aca="false">HYPERLINK("https://mncourtfraud.com/file/PJD-3.zip","PJD-3.zip")</f>
        <v>PJD-3.zip</v>
      </c>
      <c r="C749" s="8" t="str">
        <f aca="false">HYPERLINK("https://mncourtfraud.com/file/27-CR-23-2073.pdf","27-CR-23-2073")</f>
        <v>27-CR-23-2073</v>
      </c>
      <c r="D749" s="3" t="s">
        <v>567</v>
      </c>
      <c r="E749" s="8" t="str">
        <f aca="false">HYPERLINK("https://mncourtfraud.com/file/MCRO_27-CR-23-2073_Order-Evaluation for Competency to Proceed (Rule 20.01)_2023-06-05_20240430072455.pdf","MCRO_27-CR-23-2073_Order-Evaluation for Competency to Proceed (Rule 20.01)_2023-06-05_20240430072455.pdf")</f>
        <v>MCRO_27-CR-23-2073_Order-Evaluation for Competency to Proceed (Rule 20.01)_2023-06-05_20240430072455.pdf</v>
      </c>
      <c r="F749" s="9" t="n">
        <v>45082</v>
      </c>
      <c r="G749" s="1" t="s">
        <v>578</v>
      </c>
      <c r="H749" s="3" t="s">
        <v>579</v>
      </c>
      <c r="I749" s="3" t="s">
        <v>580</v>
      </c>
      <c r="J749" s="3" t="s">
        <v>267</v>
      </c>
      <c r="K749" s="1" t="s">
        <v>581</v>
      </c>
      <c r="L749" s="3" t="s">
        <v>582</v>
      </c>
    </row>
    <row r="750" customFormat="false" ht="18.7" hidden="false" customHeight="true" outlineLevel="0" collapsed="false">
      <c r="A750" s="1" t="n">
        <v>749</v>
      </c>
      <c r="F750" s="9"/>
    </row>
    <row r="751" customFormat="false" ht="18.7" hidden="false" customHeight="true" outlineLevel="0" collapsed="false">
      <c r="A751" s="1" t="n">
        <v>750</v>
      </c>
      <c r="B751" s="7" t="str">
        <f aca="false">HYPERLINK("https://mncourtfraud.com/file/PJD-4.zip","PJD-4.zip")</f>
        <v>PJD-4.zip</v>
      </c>
      <c r="C751" s="8" t="str">
        <f aca="false">HYPERLINK("https://mncourtfraud.com/file/27-CR-20-6301.pdf","27-CR-20-6301")</f>
        <v>27-CR-20-6301</v>
      </c>
      <c r="D751" s="3" t="s">
        <v>567</v>
      </c>
      <c r="E751" s="8" t="str">
        <f aca="false">HYPERLINK("https://mncourtfraud.com/file/MCRO_27-CR-20-6301_Notice of Hearing_2023-06-05_20240430085132.pdf","MCRO_27-CR-20-6301_Notice of Hearing_2023-06-05_20240430085132.pdf")</f>
        <v>MCRO_27-CR-20-6301_Notice of Hearing_2023-06-05_20240430085132.pdf</v>
      </c>
      <c r="F751" s="9" t="n">
        <v>45082</v>
      </c>
      <c r="G751" s="1" t="s">
        <v>583</v>
      </c>
      <c r="H751" s="3" t="s">
        <v>584</v>
      </c>
      <c r="I751" s="3" t="s">
        <v>585</v>
      </c>
    </row>
    <row r="752" customFormat="false" ht="18.7" hidden="false" customHeight="true" outlineLevel="0" collapsed="false">
      <c r="A752" s="1" t="n">
        <v>751</v>
      </c>
      <c r="B752" s="7" t="str">
        <f aca="false">HYPERLINK("https://mncourtfraud.com/file/PJD-4.zip","PJD-4.zip")</f>
        <v>PJD-4.zip</v>
      </c>
      <c r="C752" s="8" t="str">
        <f aca="false">HYPERLINK("https://mncourtfraud.com/file/27-CR-21-6382.pdf","27-CR-21-6382")</f>
        <v>27-CR-21-6382</v>
      </c>
      <c r="D752" s="3" t="s">
        <v>567</v>
      </c>
      <c r="E752" s="8" t="str">
        <f aca="false">HYPERLINK("https://mncourtfraud.com/file/MCRO_27-CR-21-6382_Notice of Hearing_2023-06-05_20240430080312.pdf","MCRO_27-CR-21-6382_Notice of Hearing_2023-06-05_20240430080312.pdf")</f>
        <v>MCRO_27-CR-21-6382_Notice of Hearing_2023-06-05_20240430080312.pdf</v>
      </c>
      <c r="F752" s="9" t="n">
        <v>45082</v>
      </c>
      <c r="G752" s="1" t="s">
        <v>583</v>
      </c>
      <c r="H752" s="3" t="s">
        <v>584</v>
      </c>
      <c r="I752" s="3" t="s">
        <v>585</v>
      </c>
    </row>
    <row r="753" customFormat="false" ht="18.7" hidden="false" customHeight="true" outlineLevel="0" collapsed="false">
      <c r="A753" s="1" t="n">
        <v>752</v>
      </c>
      <c r="B753" s="7" t="str">
        <f aca="false">HYPERLINK("https://mncourtfraud.com/file/PJD-4.zip","PJD-4.zip")</f>
        <v>PJD-4.zip</v>
      </c>
      <c r="C753" s="8" t="str">
        <f aca="false">HYPERLINK("https://mncourtfraud.com/file/27-CR-21-928.pdf","27-CR-21-928")</f>
        <v>27-CR-21-928</v>
      </c>
      <c r="D753" s="11"/>
      <c r="E753" s="8" t="str">
        <f aca="false">HYPERLINK("https://mncourtfraud.com/file/MCRO_27-CR-21-928_Notice of Hearing_2023-06-05_20240430075147.pdf","MCRO_27-CR-21-928_Notice of Hearing_2023-06-05_20240430075147.pdf")</f>
        <v>MCRO_27-CR-21-928_Notice of Hearing_2023-06-05_20240430075147.pdf</v>
      </c>
      <c r="F753" s="9" t="n">
        <v>45082</v>
      </c>
      <c r="G753" s="1" t="s">
        <v>583</v>
      </c>
      <c r="H753" s="3" t="s">
        <v>584</v>
      </c>
      <c r="I753" s="3" t="s">
        <v>585</v>
      </c>
    </row>
    <row r="754" customFormat="false" ht="18.7" hidden="false" customHeight="true" outlineLevel="0" collapsed="false">
      <c r="A754" s="1" t="n">
        <v>753</v>
      </c>
      <c r="B754" s="7" t="str">
        <f aca="false">HYPERLINK("https://mncourtfraud.com/file/PJD-4.zip","PJD-4.zip")</f>
        <v>PJD-4.zip</v>
      </c>
      <c r="C754" s="8" t="str">
        <f aca="false">HYPERLINK("https://mncourtfraud.com/file/27-CR-22-4239.pdf","27-CR-22-4239")</f>
        <v>27-CR-22-4239</v>
      </c>
      <c r="D754" s="3" t="s">
        <v>567</v>
      </c>
      <c r="E754" s="8" t="str">
        <f aca="false">HYPERLINK("https://mncourtfraud.com/file/MCRO_27-CR-22-4239_Notice of Hearing_2023-06-05_20240429035803.pdf","MCRO_27-CR-22-4239_Notice of Hearing_2023-06-05_20240429035803.pdf")</f>
        <v>MCRO_27-CR-22-4239_Notice of Hearing_2023-06-05_20240429035803.pdf</v>
      </c>
      <c r="F754" s="9" t="n">
        <v>45082</v>
      </c>
      <c r="G754" s="1" t="s">
        <v>583</v>
      </c>
      <c r="H754" s="3" t="s">
        <v>584</v>
      </c>
      <c r="I754" s="3" t="s">
        <v>585</v>
      </c>
    </row>
    <row r="755" customFormat="false" ht="18.7" hidden="false" customHeight="true" outlineLevel="0" collapsed="false">
      <c r="A755" s="1" t="n">
        <v>754</v>
      </c>
      <c r="F755" s="9"/>
    </row>
    <row r="756" customFormat="false" ht="18.7" hidden="false" customHeight="true" outlineLevel="0" collapsed="false">
      <c r="A756" s="1" t="n">
        <v>755</v>
      </c>
      <c r="F756" s="9"/>
    </row>
    <row r="757" customFormat="false" ht="18.7" hidden="false" customHeight="true" outlineLevel="0" collapsed="false">
      <c r="A757" s="1" t="n">
        <v>756</v>
      </c>
      <c r="B757" s="7" t="str">
        <f aca="false">HYPERLINK("https://mncourtfraud.com/file/AIO-1.zip","AIO-1.zip")</f>
        <v>AIO-1.zip</v>
      </c>
      <c r="C757" s="8" t="str">
        <f aca="false">HYPERLINK("https://mncourtfraud.com/file/27-CR-18-18391.pdf","27-CR-18-18391")</f>
        <v>27-CR-18-18391</v>
      </c>
      <c r="D757" s="3" t="s">
        <v>586</v>
      </c>
      <c r="E757" s="8" t="str">
        <f aca="false">HYPERLINK("https://mncourtfraud.com/file/MCRO_27-CR-18-18391_Order-Evaluation for Competency to Proceed (Rule 20.01)_2019-02-05_20240430092812.pdf","MCRO_27-CR-18-18391_Order-Evaluation for Competency to Proceed (Rule 20.01)_2019-02-05_20240430092812.pdf")</f>
        <v>MCRO_27-CR-18-18391_Order-Evaluation for Competency to Proceed (Rule 20.01)_2019-02-05_20240430092812.pdf</v>
      </c>
      <c r="F757" s="9" t="n">
        <v>43501</v>
      </c>
      <c r="G757" s="1" t="s">
        <v>587</v>
      </c>
      <c r="H757" s="3" t="s">
        <v>588</v>
      </c>
      <c r="I757" s="3" t="s">
        <v>589</v>
      </c>
    </row>
    <row r="758" customFormat="false" ht="18.7" hidden="false" customHeight="true" outlineLevel="0" collapsed="false">
      <c r="A758" s="1" t="n">
        <v>757</v>
      </c>
      <c r="B758" s="7" t="str">
        <f aca="false">HYPERLINK("https://mncourtfraud.com/file/AIO-1.zip","AIO-1.zip")</f>
        <v>AIO-1.zip</v>
      </c>
      <c r="C758" s="8" t="str">
        <f aca="false">HYPERLINK("https://mncourtfraud.com/file/27-CR-19-1916.pdf","27-CR-19-1916")</f>
        <v>27-CR-19-1916</v>
      </c>
      <c r="D758" s="3" t="s">
        <v>586</v>
      </c>
      <c r="E758" s="8" t="str">
        <f aca="false">HYPERLINK("https://mncourtfraud.com/file/MCRO_27-CR-19-1916_Order-Evaluation for Competency to Proceed (Rule 20.01)_2019-02-05_20240430091249.pdf","MCRO_27-CR-19-1916_Order-Evaluation for Competency to Proceed (Rule 20.01)_2019-02-05_20240430091249.pdf")</f>
        <v>MCRO_27-CR-19-1916_Order-Evaluation for Competency to Proceed (Rule 20.01)_2019-02-05_20240430091249.pdf</v>
      </c>
      <c r="F758" s="9" t="n">
        <v>43501</v>
      </c>
      <c r="G758" s="1" t="s">
        <v>587</v>
      </c>
      <c r="H758" s="3" t="s">
        <v>588</v>
      </c>
      <c r="I758" s="3" t="s">
        <v>590</v>
      </c>
    </row>
    <row r="759" customFormat="false" ht="18.7" hidden="false" customHeight="true" outlineLevel="0" collapsed="false">
      <c r="A759" s="1" t="n">
        <v>758</v>
      </c>
      <c r="F759" s="9"/>
    </row>
    <row r="760" customFormat="false" ht="18.7" hidden="false" customHeight="true" outlineLevel="0" collapsed="false">
      <c r="A760" s="1" t="n">
        <v>759</v>
      </c>
      <c r="B760" s="7" t="str">
        <f aca="false">HYPERLINK("https://mncourtfraud.com/file/AIO-2.zip","AIO-2.zip")</f>
        <v>AIO-2.zip</v>
      </c>
      <c r="C760" s="8" t="str">
        <f aca="false">HYPERLINK("https://mncourtfraud.com/file/27-CR-18-18391.pdf","27-CR-18-18391")</f>
        <v>27-CR-18-18391</v>
      </c>
      <c r="D760" s="3" t="s">
        <v>586</v>
      </c>
      <c r="E760" s="8" t="str">
        <f aca="false">HYPERLINK("https://mncourtfraud.com/file/MCRO_27-CR-18-18391_Find of Fact-Order, Pet Commitment-Dfd Found Incompetent_2019-02-26_20240430092811.pdf","MCRO_27-CR-18-18391_Find of Fact-Order, Pet Commitment-Dfd Found Incompetent_2019-02-26_20240430092811.pdf")</f>
        <v>MCRO_27-CR-18-18391_Find of Fact-Order, Pet Commitment-Dfd Found Incompetent_2019-02-26_20240430092811.pdf</v>
      </c>
      <c r="F760" s="9" t="n">
        <v>43522</v>
      </c>
      <c r="G760" s="1" t="s">
        <v>591</v>
      </c>
      <c r="H760" s="3" t="s">
        <v>592</v>
      </c>
      <c r="I760" s="3" t="s">
        <v>593</v>
      </c>
      <c r="J760" s="3" t="s">
        <v>344</v>
      </c>
      <c r="K760" s="1" t="s">
        <v>594</v>
      </c>
      <c r="L760" s="3" t="s">
        <v>595</v>
      </c>
    </row>
    <row r="761" customFormat="false" ht="18.7" hidden="false" customHeight="true" outlineLevel="0" collapsed="false">
      <c r="A761" s="1" t="n">
        <v>760</v>
      </c>
      <c r="B761" s="7" t="str">
        <f aca="false">HYPERLINK("https://mncourtfraud.com/file/AIO-2.zip","AIO-2.zip")</f>
        <v>AIO-2.zip</v>
      </c>
      <c r="C761" s="8" t="str">
        <f aca="false">HYPERLINK("https://mncourtfraud.com/file/27-CR-19-1916.pdf","27-CR-19-1916")</f>
        <v>27-CR-19-1916</v>
      </c>
      <c r="D761" s="3" t="s">
        <v>586</v>
      </c>
      <c r="E761" s="8" t="str">
        <f aca="false">HYPERLINK("https://mncourtfraud.com/file/MCRO_27-CR-19-1916_Find of Fact-Order, Pet Commitment-Dfd Found Incompetent_2019-02-26_20240430091248.pdf","MCRO_27-CR-19-1916_Find of Fact-Order, Pet Commitment-Dfd Found Incompetent_2019-02-26_20240430091248.pdf")</f>
        <v>MCRO_27-CR-19-1916_Find of Fact-Order, Pet Commitment-Dfd Found Incompetent_2019-02-26_20240430091248.pdf</v>
      </c>
      <c r="F761" s="9" t="n">
        <v>43522</v>
      </c>
      <c r="G761" s="1" t="s">
        <v>591</v>
      </c>
      <c r="H761" s="3" t="s">
        <v>592</v>
      </c>
      <c r="I761" s="3" t="s">
        <v>593</v>
      </c>
      <c r="J761" s="3" t="s">
        <v>344</v>
      </c>
      <c r="K761" s="1" t="s">
        <v>594</v>
      </c>
      <c r="L761" s="3" t="s">
        <v>595</v>
      </c>
    </row>
    <row r="762" customFormat="false" ht="18.7" hidden="false" customHeight="true" outlineLevel="0" collapsed="false">
      <c r="A762" s="1" t="n">
        <v>761</v>
      </c>
      <c r="B762" s="7" t="str">
        <f aca="false">HYPERLINK("https://mncourtfraud.com/file/AIO-2.zip","AIO-2.zip")</f>
        <v>AIO-2.zip</v>
      </c>
      <c r="C762" s="8" t="str">
        <f aca="false">HYPERLINK("https://mncourtfraud.com/file/27-CR-19-3539.pdf","27-CR-19-3539")</f>
        <v>27-CR-19-3539</v>
      </c>
      <c r="D762" s="3" t="s">
        <v>586</v>
      </c>
      <c r="E762" s="8" t="str">
        <f aca="false">HYPERLINK("https://mncourtfraud.com/file/MCRO_27-CR-19-3539_Find of Fact-Order, Pet Commitment-Dfd Found Incompetent_2019-02-26_20240430091359.pdf","MCRO_27-CR-19-3539_Find of Fact-Order, Pet Commitment-Dfd Found Incompetent_2019-02-26_20240430091359.pdf")</f>
        <v>MCRO_27-CR-19-3539_Find of Fact-Order, Pet Commitment-Dfd Found Incompetent_2019-02-26_20240430091359.pdf</v>
      </c>
      <c r="F762" s="9" t="n">
        <v>43522</v>
      </c>
      <c r="G762" s="1" t="s">
        <v>591</v>
      </c>
      <c r="H762" s="3" t="s">
        <v>592</v>
      </c>
      <c r="I762" s="3" t="s">
        <v>593</v>
      </c>
      <c r="J762" s="3" t="s">
        <v>344</v>
      </c>
      <c r="K762" s="1" t="s">
        <v>594</v>
      </c>
      <c r="L762" s="3" t="s">
        <v>595</v>
      </c>
    </row>
    <row r="763" customFormat="false" ht="18.7" hidden="false" customHeight="true" outlineLevel="0" collapsed="false">
      <c r="A763" s="1" t="n">
        <v>762</v>
      </c>
      <c r="F763" s="9"/>
    </row>
    <row r="764" customFormat="false" ht="18.7" hidden="false" customHeight="true" outlineLevel="0" collapsed="false">
      <c r="A764" s="1" t="n">
        <v>763</v>
      </c>
      <c r="B764" s="7" t="str">
        <f aca="false">HYPERLINK("https://mncourtfraud.com/file/AIO-3.zip","AIO-3.zip")</f>
        <v>AIO-3.zip</v>
      </c>
      <c r="C764" s="8" t="str">
        <f aca="false">HYPERLINK("https://mncourtfraud.com/file/27-CR-18-18391.pdf","27-CR-18-18391")</f>
        <v>27-CR-18-18391</v>
      </c>
      <c r="D764" s="3" t="s">
        <v>586</v>
      </c>
      <c r="E764" s="8" t="str">
        <f aca="false">HYPERLINK("https://mncourtfraud.com/file/MCRO_27-CR-18-18391_Order to Transport_2019-08-19_20240430092805.pdf","MCRO_27-CR-18-18391_Order to Transport_2019-08-19_20240430092805.pdf")</f>
        <v>MCRO_27-CR-18-18391_Order to Transport_2019-08-19_20240430092805.pdf</v>
      </c>
      <c r="F764" s="9" t="n">
        <v>43696</v>
      </c>
      <c r="G764" s="1" t="s">
        <v>596</v>
      </c>
      <c r="H764" s="3" t="s">
        <v>597</v>
      </c>
      <c r="I764" s="3" t="s">
        <v>598</v>
      </c>
    </row>
    <row r="765" customFormat="false" ht="18.7" hidden="false" customHeight="true" outlineLevel="0" collapsed="false">
      <c r="A765" s="1" t="n">
        <v>764</v>
      </c>
      <c r="B765" s="7" t="str">
        <f aca="false">HYPERLINK("https://mncourtfraud.com/file/AIO-3.zip","AIO-3.zip")</f>
        <v>AIO-3.zip</v>
      </c>
      <c r="C765" s="8" t="str">
        <f aca="false">HYPERLINK("https://mncourtfraud.com/file/27-CR-19-1916.pdf","27-CR-19-1916")</f>
        <v>27-CR-19-1916</v>
      </c>
      <c r="D765" s="3" t="s">
        <v>586</v>
      </c>
      <c r="E765" s="8" t="str">
        <f aca="false">HYPERLINK("https://mncourtfraud.com/file/MCRO_27-CR-19-1916_Order to Transport_2019-08-19_20240430091246.pdf","MCRO_27-CR-19-1916_Order to Transport_2019-08-19_20240430091246.pdf")</f>
        <v>MCRO_27-CR-19-1916_Order to Transport_2019-08-19_20240430091246.pdf</v>
      </c>
      <c r="F765" s="9" t="n">
        <v>43696</v>
      </c>
      <c r="G765" s="1" t="s">
        <v>596</v>
      </c>
      <c r="H765" s="3" t="s">
        <v>597</v>
      </c>
      <c r="I765" s="3" t="s">
        <v>599</v>
      </c>
    </row>
    <row r="766" customFormat="false" ht="18.7" hidden="false" customHeight="true" outlineLevel="0" collapsed="false">
      <c r="A766" s="1" t="n">
        <v>765</v>
      </c>
      <c r="B766" s="7" t="str">
        <f aca="false">HYPERLINK("https://mncourtfraud.com/file/AIO-3.zip","AIO-3.zip")</f>
        <v>AIO-3.zip</v>
      </c>
      <c r="C766" s="8" t="str">
        <f aca="false">HYPERLINK("https://mncourtfraud.com/file/27-CR-19-3539.pdf","27-CR-19-3539")</f>
        <v>27-CR-19-3539</v>
      </c>
      <c r="D766" s="3" t="s">
        <v>586</v>
      </c>
      <c r="E766" s="8" t="str">
        <f aca="false">HYPERLINK("https://mncourtfraud.com/file/MCRO_27-CR-19-3539_Order to Transport_2019-08-19_20240430091356.pdf","MCRO_27-CR-19-3539_Order to Transport_2019-08-19_20240430091356.pdf")</f>
        <v>MCRO_27-CR-19-3539_Order to Transport_2019-08-19_20240430091356.pdf</v>
      </c>
      <c r="F766" s="9" t="n">
        <v>43696</v>
      </c>
      <c r="G766" s="1" t="s">
        <v>596</v>
      </c>
      <c r="H766" s="3" t="s">
        <v>597</v>
      </c>
      <c r="I766" s="3" t="s">
        <v>600</v>
      </c>
    </row>
    <row r="767" customFormat="false" ht="18.7" hidden="false" customHeight="true" outlineLevel="0" collapsed="false">
      <c r="A767" s="1" t="n">
        <v>766</v>
      </c>
      <c r="F767" s="9"/>
    </row>
    <row r="768" customFormat="false" ht="18.7" hidden="false" customHeight="true" outlineLevel="0" collapsed="false">
      <c r="A768" s="1" t="n">
        <v>767</v>
      </c>
      <c r="B768" s="7" t="str">
        <f aca="false">HYPERLINK("https://mncourtfraud.com/file/AIO-4.zip","AIO-4.zip")</f>
        <v>AIO-4.zip</v>
      </c>
      <c r="C768" s="8" t="str">
        <f aca="false">HYPERLINK("https://mncourtfraud.com/file/27-CR-18-18391.pdf","27-CR-18-18391")</f>
        <v>27-CR-18-18391</v>
      </c>
      <c r="D768" s="3" t="s">
        <v>586</v>
      </c>
      <c r="E768" s="8" t="str">
        <f aca="false">HYPERLINK("https://mncourtfraud.com/file/MCRO_27-CR-18-18391_Find of Fact-Order, Pet Commitment-Dfd Found Incompetent_2019-08-27_20240430092804.pdf","MCRO_27-CR-18-18391_Find of Fact-Order, Pet Commitment-Dfd Found Incompetent_2019-08-27_20240430092804.pdf")</f>
        <v>MCRO_27-CR-18-18391_Find of Fact-Order, Pet Commitment-Dfd Found Incompetent_2019-08-27_20240430092804.pdf</v>
      </c>
      <c r="F768" s="9" t="n">
        <v>43704</v>
      </c>
      <c r="G768" s="1" t="s">
        <v>601</v>
      </c>
      <c r="H768" s="3" t="s">
        <v>602</v>
      </c>
      <c r="I768" s="3" t="s">
        <v>603</v>
      </c>
      <c r="J768" s="3" t="s">
        <v>344</v>
      </c>
      <c r="K768" s="1" t="s">
        <v>604</v>
      </c>
      <c r="L768" s="3" t="s">
        <v>605</v>
      </c>
    </row>
    <row r="769" customFormat="false" ht="18.7" hidden="false" customHeight="true" outlineLevel="0" collapsed="false">
      <c r="A769" s="1" t="n">
        <v>768</v>
      </c>
      <c r="B769" s="7" t="str">
        <f aca="false">HYPERLINK("https://mncourtfraud.com/file/AIO-4.zip","AIO-4.zip")</f>
        <v>AIO-4.zip</v>
      </c>
      <c r="C769" s="8" t="str">
        <f aca="false">HYPERLINK("https://mncourtfraud.com/file/27-CR-19-17539.pdf","27-CR-19-17539")</f>
        <v>27-CR-19-17539</v>
      </c>
      <c r="D769" s="3" t="s">
        <v>586</v>
      </c>
      <c r="E769" s="8" t="str">
        <f aca="false">HYPERLINK("https://mncourtfraud.com/file/MCRO_27-CR-19-17539_Find of Fact-Order, Pet Commitment-Dfd Found Incompetent_2019-08-27_20240430092003.pdf","MCRO_27-CR-19-17539_Find of Fact-Order, Pet Commitment-Dfd Found Incompetent_2019-08-27_20240430092003.pdf")</f>
        <v>MCRO_27-CR-19-17539_Find of Fact-Order, Pet Commitment-Dfd Found Incompetent_2019-08-27_20240430092003.pdf</v>
      </c>
      <c r="F769" s="9" t="n">
        <v>43704</v>
      </c>
      <c r="G769" s="1" t="s">
        <v>601</v>
      </c>
      <c r="H769" s="3" t="s">
        <v>602</v>
      </c>
      <c r="I769" s="3" t="s">
        <v>603</v>
      </c>
      <c r="J769" s="3" t="s">
        <v>344</v>
      </c>
      <c r="K769" s="1" t="s">
        <v>604</v>
      </c>
      <c r="L769" s="3" t="s">
        <v>605</v>
      </c>
    </row>
    <row r="770" customFormat="false" ht="18.7" hidden="false" customHeight="true" outlineLevel="0" collapsed="false">
      <c r="A770" s="1" t="n">
        <v>769</v>
      </c>
      <c r="B770" s="7" t="str">
        <f aca="false">HYPERLINK("https://mncourtfraud.com/file/AIO-4.zip","AIO-4.zip")</f>
        <v>AIO-4.zip</v>
      </c>
      <c r="C770" s="8" t="str">
        <f aca="false">HYPERLINK("https://mncourtfraud.com/file/27-CR-19-1916.pdf","27-CR-19-1916")</f>
        <v>27-CR-19-1916</v>
      </c>
      <c r="D770" s="3" t="s">
        <v>586</v>
      </c>
      <c r="E770" s="8" t="str">
        <f aca="false">HYPERLINK("https://mncourtfraud.com/file/MCRO_27-CR-19-1916_Find of Fact-Order, Pet Commitment-Dfd Found Incompetent_2019-08-27_20240430091245.pdf","MCRO_27-CR-19-1916_Find of Fact-Order, Pet Commitment-Dfd Found Incompetent_2019-08-27_20240430091245.pdf")</f>
        <v>MCRO_27-CR-19-1916_Find of Fact-Order, Pet Commitment-Dfd Found Incompetent_2019-08-27_20240430091245.pdf</v>
      </c>
      <c r="F770" s="9" t="n">
        <v>43704</v>
      </c>
      <c r="G770" s="1" t="s">
        <v>601</v>
      </c>
      <c r="H770" s="3" t="s">
        <v>602</v>
      </c>
      <c r="I770" s="3" t="s">
        <v>603</v>
      </c>
      <c r="J770" s="3" t="s">
        <v>344</v>
      </c>
      <c r="K770" s="1" t="s">
        <v>604</v>
      </c>
      <c r="L770" s="3" t="s">
        <v>605</v>
      </c>
    </row>
    <row r="771" customFormat="false" ht="18.7" hidden="false" customHeight="true" outlineLevel="0" collapsed="false">
      <c r="A771" s="1" t="n">
        <v>770</v>
      </c>
      <c r="B771" s="7" t="str">
        <f aca="false">HYPERLINK("https://mncourtfraud.com/file/AIO-4.zip","AIO-4.zip")</f>
        <v>AIO-4.zip</v>
      </c>
      <c r="C771" s="8" t="str">
        <f aca="false">HYPERLINK("https://mncourtfraud.com/file/27-CR-19-3539.pdf","27-CR-19-3539")</f>
        <v>27-CR-19-3539</v>
      </c>
      <c r="D771" s="3" t="s">
        <v>586</v>
      </c>
      <c r="E771" s="8" t="str">
        <f aca="false">HYPERLINK("https://mncourtfraud.com/file/MCRO_27-CR-19-3539_Find of Fact-Order, Pet Commitment-Dfd Found Incompetent_2019-08-27_20240430091356.pdf","MCRO_27-CR-19-3539_Find of Fact-Order, Pet Commitment-Dfd Found Incompetent_2019-08-27_20240430091356.pdf")</f>
        <v>MCRO_27-CR-19-3539_Find of Fact-Order, Pet Commitment-Dfd Found Incompetent_2019-08-27_20240430091356.pdf</v>
      </c>
      <c r="F771" s="9" t="n">
        <v>43704</v>
      </c>
      <c r="G771" s="1" t="s">
        <v>601</v>
      </c>
      <c r="H771" s="3" t="s">
        <v>602</v>
      </c>
      <c r="I771" s="3" t="s">
        <v>603</v>
      </c>
      <c r="J771" s="3" t="s">
        <v>344</v>
      </c>
      <c r="K771" s="1" t="s">
        <v>604</v>
      </c>
      <c r="L771" s="3" t="s">
        <v>605</v>
      </c>
    </row>
    <row r="772" customFormat="false" ht="18.7" hidden="false" customHeight="true" outlineLevel="0" collapsed="false">
      <c r="A772" s="1" t="n">
        <v>771</v>
      </c>
      <c r="F772" s="9"/>
    </row>
    <row r="773" customFormat="false" ht="18.7" hidden="false" customHeight="true" outlineLevel="0" collapsed="false">
      <c r="A773" s="1" t="n">
        <v>772</v>
      </c>
      <c r="B773" s="7" t="str">
        <f aca="false">HYPERLINK("https://mncourtfraud.com/file/AIO-5.zip","AIO-5.zip")</f>
        <v>AIO-5.zip</v>
      </c>
      <c r="C773" s="8" t="str">
        <f aca="false">HYPERLINK("https://mncourtfraud.com/file/27-CR-18-18391.pdf","27-CR-18-18391")</f>
        <v>27-CR-18-18391</v>
      </c>
      <c r="D773" s="3" t="s">
        <v>586</v>
      </c>
      <c r="E773" s="8" t="str">
        <f aca="false">HYPERLINK("https://mncourtfraud.com/file/MCRO_27-CR-18-18391_Amended Order_2019-10-04_20240430092800.pdf","MCRO_27-CR-18-18391_Amended Order_2019-10-04_20240430092800.pdf")</f>
        <v>MCRO_27-CR-18-18391_Amended Order_2019-10-04_20240430092800.pdf</v>
      </c>
      <c r="F773" s="9" t="n">
        <v>43742</v>
      </c>
      <c r="G773" s="1" t="s">
        <v>606</v>
      </c>
      <c r="H773" s="3" t="s">
        <v>607</v>
      </c>
      <c r="I773" s="3" t="s">
        <v>608</v>
      </c>
    </row>
    <row r="774" customFormat="false" ht="18.7" hidden="false" customHeight="true" outlineLevel="0" collapsed="false">
      <c r="A774" s="1" t="n">
        <v>773</v>
      </c>
      <c r="B774" s="7" t="str">
        <f aca="false">HYPERLINK("https://mncourtfraud.com/file/AIO-5.zip","AIO-5.zip")</f>
        <v>AIO-5.zip</v>
      </c>
      <c r="C774" s="8" t="str">
        <f aca="false">HYPERLINK("https://mncourtfraud.com/file/27-CR-19-17539.pdf","27-CR-19-17539")</f>
        <v>27-CR-19-17539</v>
      </c>
      <c r="D774" s="3" t="s">
        <v>586</v>
      </c>
      <c r="E774" s="8" t="str">
        <f aca="false">HYPERLINK("https://mncourtfraud.com/file/MCRO_27-CR-19-17539_Amended Order_2019-10-04_20240430092001.pdf","MCRO_27-CR-19-17539_Amended Order_2019-10-04_20240430092001.pdf")</f>
        <v>MCRO_27-CR-19-17539_Amended Order_2019-10-04_20240430092001.pdf</v>
      </c>
      <c r="F774" s="9" t="n">
        <v>43742</v>
      </c>
      <c r="G774" s="1" t="s">
        <v>606</v>
      </c>
      <c r="H774" s="3" t="s">
        <v>609</v>
      </c>
      <c r="I774" s="3" t="s">
        <v>610</v>
      </c>
    </row>
    <row r="775" customFormat="false" ht="18.7" hidden="false" customHeight="true" outlineLevel="0" collapsed="false">
      <c r="A775" s="1" t="n">
        <v>774</v>
      </c>
      <c r="B775" s="7" t="str">
        <f aca="false">HYPERLINK("https://mncourtfraud.com/file/AIO-5.zip","AIO-5.zip")</f>
        <v>AIO-5.zip</v>
      </c>
      <c r="C775" s="8" t="str">
        <f aca="false">HYPERLINK("https://mncourtfraud.com/file/27-CR-19-1916.pdf","27-CR-19-1916")</f>
        <v>27-CR-19-1916</v>
      </c>
      <c r="D775" s="3" t="s">
        <v>586</v>
      </c>
      <c r="E775" s="8" t="str">
        <f aca="false">HYPERLINK("https://mncourtfraud.com/file/MCRO_27-CR-19-1916_Amended Order_2019-10-04_20240430091244.pdf","MCRO_27-CR-19-1916_Amended Order_2019-10-04_20240430091244.pdf")</f>
        <v>MCRO_27-CR-19-1916_Amended Order_2019-10-04_20240430091244.pdf</v>
      </c>
      <c r="F775" s="9" t="n">
        <v>43742</v>
      </c>
      <c r="G775" s="1" t="s">
        <v>606</v>
      </c>
      <c r="H775" s="3" t="s">
        <v>611</v>
      </c>
      <c r="I775" s="3" t="s">
        <v>612</v>
      </c>
    </row>
    <row r="776" customFormat="false" ht="18.7" hidden="false" customHeight="true" outlineLevel="0" collapsed="false">
      <c r="A776" s="1" t="n">
        <v>775</v>
      </c>
      <c r="B776" s="7" t="str">
        <f aca="false">HYPERLINK("https://mncourtfraud.com/file/AIO-5.zip","AIO-5.zip")</f>
        <v>AIO-5.zip</v>
      </c>
      <c r="C776" s="8" t="str">
        <f aca="false">HYPERLINK("https://mncourtfraud.com/file/27-CR-19-3539.pdf","27-CR-19-3539")</f>
        <v>27-CR-19-3539</v>
      </c>
      <c r="D776" s="3" t="s">
        <v>586</v>
      </c>
      <c r="E776" s="8" t="str">
        <f aca="false">HYPERLINK("https://mncourtfraud.com/file/MCRO_27-CR-19-3539_Amended Order_2019-10-04_20240430091355.pdf","MCRO_27-CR-19-3539_Amended Order_2019-10-04_20240430091355.pdf")</f>
        <v>MCRO_27-CR-19-3539_Amended Order_2019-10-04_20240430091355.pdf</v>
      </c>
      <c r="F776" s="9" t="n">
        <v>43742</v>
      </c>
      <c r="G776" s="1" t="s">
        <v>606</v>
      </c>
      <c r="H776" s="3" t="s">
        <v>613</v>
      </c>
      <c r="I776" s="3" t="s">
        <v>614</v>
      </c>
    </row>
    <row r="777" customFormat="false" ht="18.7" hidden="false" customHeight="true" outlineLevel="0" collapsed="false">
      <c r="A777" s="1" t="n">
        <v>776</v>
      </c>
      <c r="F777" s="9"/>
    </row>
    <row r="778" customFormat="false" ht="18.7" hidden="false" customHeight="true" outlineLevel="0" collapsed="false">
      <c r="A778" s="1" t="n">
        <v>777</v>
      </c>
      <c r="B778" s="7" t="str">
        <f aca="false">HYPERLINK("https://mncourtfraud.com/file/AIO-6.zip","AIO-6.zip")</f>
        <v>AIO-6.zip</v>
      </c>
      <c r="C778" s="8" t="str">
        <f aca="false">HYPERLINK("https://mncourtfraud.com/file/27-CR-18-18391.pdf","27-CR-18-18391")</f>
        <v>27-CR-18-18391</v>
      </c>
      <c r="D778" s="3" t="s">
        <v>586</v>
      </c>
      <c r="E778" s="8" t="str">
        <f aca="false">HYPERLINK("https://mncourtfraud.com/file/MCRO_27-CR-18-18391_Order-Other_2019-10-09_20240430092800.pdf","MCRO_27-CR-18-18391_Order-Other_2019-10-09_20240430092800.pdf")</f>
        <v>MCRO_27-CR-18-18391_Order-Other_2019-10-09_20240430092800.pdf</v>
      </c>
      <c r="F778" s="9" t="n">
        <v>43747</v>
      </c>
      <c r="G778" s="1" t="s">
        <v>615</v>
      </c>
      <c r="H778" s="3" t="s">
        <v>616</v>
      </c>
      <c r="I778" s="3" t="s">
        <v>617</v>
      </c>
      <c r="J778" s="3" t="s">
        <v>344</v>
      </c>
      <c r="K778" s="1" t="s">
        <v>618</v>
      </c>
      <c r="L778" s="3" t="s">
        <v>619</v>
      </c>
    </row>
    <row r="779" customFormat="false" ht="18.7" hidden="false" customHeight="true" outlineLevel="0" collapsed="false">
      <c r="A779" s="1" t="n">
        <v>778</v>
      </c>
      <c r="B779" s="7" t="str">
        <f aca="false">HYPERLINK("https://mncourtfraud.com/file/AIO-6.zip","AIO-6.zip")</f>
        <v>AIO-6.zip</v>
      </c>
      <c r="C779" s="8" t="str">
        <f aca="false">HYPERLINK("https://mncourtfraud.com/file/27-CR-19-17539.pdf","27-CR-19-17539")</f>
        <v>27-CR-19-17539</v>
      </c>
      <c r="D779" s="3" t="s">
        <v>586</v>
      </c>
      <c r="E779" s="8" t="str">
        <f aca="false">HYPERLINK("https://mncourtfraud.com/file/MCRO_27-CR-19-17539_Order-Other_2019-10-09_20240430092000.pdf","MCRO_27-CR-19-17539_Order-Other_2019-10-09_20240430092000.pdf")</f>
        <v>MCRO_27-CR-19-17539_Order-Other_2019-10-09_20240430092000.pdf</v>
      </c>
      <c r="F779" s="9" t="n">
        <v>43747</v>
      </c>
      <c r="G779" s="1" t="s">
        <v>615</v>
      </c>
      <c r="H779" s="3" t="s">
        <v>616</v>
      </c>
      <c r="I779" s="3" t="s">
        <v>617</v>
      </c>
      <c r="J779" s="3" t="s">
        <v>344</v>
      </c>
      <c r="K779" s="1" t="s">
        <v>618</v>
      </c>
      <c r="L779" s="3" t="s">
        <v>619</v>
      </c>
    </row>
    <row r="780" customFormat="false" ht="18.7" hidden="false" customHeight="true" outlineLevel="0" collapsed="false">
      <c r="A780" s="1" t="n">
        <v>779</v>
      </c>
      <c r="B780" s="7" t="str">
        <f aca="false">HYPERLINK("https://mncourtfraud.com/file/AIO-6.zip","AIO-6.zip")</f>
        <v>AIO-6.zip</v>
      </c>
      <c r="C780" s="8" t="str">
        <f aca="false">HYPERLINK("https://mncourtfraud.com/file/27-CR-19-1916.pdf","27-CR-19-1916")</f>
        <v>27-CR-19-1916</v>
      </c>
      <c r="D780" s="3" t="s">
        <v>586</v>
      </c>
      <c r="E780" s="8" t="str">
        <f aca="false">HYPERLINK("https://mncourtfraud.com/file/MCRO_27-CR-19-1916_Order-Other_2019-10-09_20240430091243.pdf","MCRO_27-CR-19-1916_Order-Other_2019-10-09_20240430091243.pdf")</f>
        <v>MCRO_27-CR-19-1916_Order-Other_2019-10-09_20240430091243.pdf</v>
      </c>
      <c r="F780" s="9" t="n">
        <v>43747</v>
      </c>
      <c r="G780" s="1" t="s">
        <v>615</v>
      </c>
      <c r="H780" s="3" t="s">
        <v>616</v>
      </c>
      <c r="I780" s="3" t="s">
        <v>617</v>
      </c>
      <c r="J780" s="3" t="s">
        <v>344</v>
      </c>
      <c r="K780" s="1" t="s">
        <v>618</v>
      </c>
      <c r="L780" s="3" t="s">
        <v>619</v>
      </c>
    </row>
    <row r="781" customFormat="false" ht="18.7" hidden="false" customHeight="true" outlineLevel="0" collapsed="false">
      <c r="A781" s="1" t="n">
        <v>780</v>
      </c>
      <c r="B781" s="7" t="str">
        <f aca="false">HYPERLINK("https://mncourtfraud.com/file/AIO-6.zip","AIO-6.zip")</f>
        <v>AIO-6.zip</v>
      </c>
      <c r="C781" s="8" t="str">
        <f aca="false">HYPERLINK("https://mncourtfraud.com/file/27-CR-19-3539.pdf","27-CR-19-3539")</f>
        <v>27-CR-19-3539</v>
      </c>
      <c r="D781" s="3" t="s">
        <v>586</v>
      </c>
      <c r="E781" s="8" t="str">
        <f aca="false">HYPERLINK("https://mncourtfraud.com/file/MCRO_27-CR-19-3539_Order-Other_2019-10-09_20240430091353.pdf","MCRO_27-CR-19-3539_Order-Other_2019-10-09_20240430091353.pdf")</f>
        <v>MCRO_27-CR-19-3539_Order-Other_2019-10-09_20240430091353.pdf</v>
      </c>
      <c r="F781" s="9" t="n">
        <v>43747</v>
      </c>
      <c r="G781" s="1" t="s">
        <v>615</v>
      </c>
      <c r="H781" s="3" t="s">
        <v>616</v>
      </c>
      <c r="I781" s="3" t="s">
        <v>617</v>
      </c>
      <c r="J781" s="3" t="s">
        <v>344</v>
      </c>
      <c r="K781" s="1" t="s">
        <v>618</v>
      </c>
      <c r="L781" s="3" t="s">
        <v>619</v>
      </c>
    </row>
    <row r="782" customFormat="false" ht="18.7" hidden="false" customHeight="true" outlineLevel="0" collapsed="false">
      <c r="A782" s="1" t="n">
        <v>781</v>
      </c>
      <c r="F782" s="9"/>
    </row>
    <row r="783" customFormat="false" ht="18.7" hidden="false" customHeight="true" outlineLevel="0" collapsed="false">
      <c r="A783" s="1" t="n">
        <v>782</v>
      </c>
      <c r="B783" s="7" t="str">
        <f aca="false">HYPERLINK("https://mncourtfraud.com/file/AIO-7.zip","AIO-7.zip")</f>
        <v>AIO-7.zip</v>
      </c>
      <c r="C783" s="8" t="str">
        <f aca="false">HYPERLINK("https://mncourtfraud.com/file/27-CR-18-18391.pdf","27-CR-18-18391")</f>
        <v>27-CR-18-18391</v>
      </c>
      <c r="D783" s="3" t="s">
        <v>586</v>
      </c>
      <c r="E783" s="8" t="str">
        <f aca="false">HYPERLINK("https://mncourtfraud.com/file/MCRO_27-CR-18-18391_Order for Production of Medical Records_2020-06-04_20240430092748.pdf","MCRO_27-CR-18-18391_Order for Production of Medical Records_2020-06-04_20240430092748.pdf")</f>
        <v>MCRO_27-CR-18-18391_Order for Production of Medical Records_2020-06-04_20240430092748.pdf</v>
      </c>
      <c r="F783" s="9" t="n">
        <v>43986</v>
      </c>
      <c r="G783" s="1" t="s">
        <v>620</v>
      </c>
      <c r="H783" s="3" t="s">
        <v>621</v>
      </c>
      <c r="I783" s="3" t="s">
        <v>622</v>
      </c>
    </row>
    <row r="784" customFormat="false" ht="18.7" hidden="false" customHeight="true" outlineLevel="0" collapsed="false">
      <c r="A784" s="1" t="n">
        <v>783</v>
      </c>
      <c r="B784" s="7" t="str">
        <f aca="false">HYPERLINK("https://mncourtfraud.com/file/AIO-7.zip","AIO-7.zip")</f>
        <v>AIO-7.zip</v>
      </c>
      <c r="C784" s="8" t="str">
        <f aca="false">HYPERLINK("https://mncourtfraud.com/file/27-CR-18-18391.pdf","27-CR-18-18391")</f>
        <v>27-CR-18-18391</v>
      </c>
      <c r="D784" s="3" t="s">
        <v>586</v>
      </c>
      <c r="E784" s="8" t="str">
        <f aca="false">HYPERLINK("https://mncourtfraud.com/file/MCRO_27-CR-18-18391_Proposed Order or Document_2020-06-04_20240430092749.pdf","MCRO_27-CR-18-18391_Proposed Order or Document_2020-06-04_20240430092749.pdf")</f>
        <v>MCRO_27-CR-18-18391_Proposed Order or Document_2020-06-04_20240430092749.pdf</v>
      </c>
      <c r="F784" s="9" t="n">
        <v>43986</v>
      </c>
      <c r="G784" s="1" t="s">
        <v>620</v>
      </c>
      <c r="H784" s="3" t="s">
        <v>623</v>
      </c>
      <c r="I784" s="3" t="s">
        <v>624</v>
      </c>
    </row>
    <row r="785" customFormat="false" ht="18.7" hidden="false" customHeight="true" outlineLevel="0" collapsed="false">
      <c r="A785" s="1" t="n">
        <v>784</v>
      </c>
      <c r="B785" s="7" t="str">
        <f aca="false">HYPERLINK("https://mncourtfraud.com/file/AIO-7.zip","AIO-7.zip")</f>
        <v>AIO-7.zip</v>
      </c>
      <c r="C785" s="8" t="str">
        <f aca="false">HYPERLINK("https://mncourtfraud.com/file/27-CR-19-17539.pdf","27-CR-19-17539")</f>
        <v>27-CR-19-17539</v>
      </c>
      <c r="D785" s="3" t="s">
        <v>586</v>
      </c>
      <c r="E785" s="8" t="str">
        <f aca="false">HYPERLINK("https://mncourtfraud.com/file/MCRO_27-CR-19-17539_Order for Production of Medical Records_2020-06-04_20240430091956.pdf","MCRO_27-CR-19-17539_Order for Production of Medical Records_2020-06-04_20240430091956.pdf")</f>
        <v>MCRO_27-CR-19-17539_Order for Production of Medical Records_2020-06-04_20240430091956.pdf</v>
      </c>
      <c r="F785" s="9" t="n">
        <v>43986</v>
      </c>
      <c r="G785" s="1" t="s">
        <v>620</v>
      </c>
      <c r="H785" s="3" t="s">
        <v>621</v>
      </c>
      <c r="I785" s="3" t="s">
        <v>625</v>
      </c>
    </row>
    <row r="786" customFormat="false" ht="18.7" hidden="false" customHeight="true" outlineLevel="0" collapsed="false">
      <c r="A786" s="1" t="n">
        <v>785</v>
      </c>
      <c r="B786" s="7" t="str">
        <f aca="false">HYPERLINK("https://mncourtfraud.com/file/AIO-7.zip","AIO-7.zip")</f>
        <v>AIO-7.zip</v>
      </c>
      <c r="C786" s="8" t="str">
        <f aca="false">HYPERLINK("https://mncourtfraud.com/file/27-CR-19-17539.pdf","27-CR-19-17539")</f>
        <v>27-CR-19-17539</v>
      </c>
      <c r="D786" s="3" t="s">
        <v>586</v>
      </c>
      <c r="E786" s="8" t="str">
        <f aca="false">HYPERLINK("https://mncourtfraud.com/file/MCRO_27-CR-19-17539_Proposed Order or Document_2020-06-04_20240430091957.pdf","MCRO_27-CR-19-17539_Proposed Order or Document_2020-06-04_20240430091957.pdf")</f>
        <v>MCRO_27-CR-19-17539_Proposed Order or Document_2020-06-04_20240430091957.pdf</v>
      </c>
      <c r="F786" s="9" t="n">
        <v>43986</v>
      </c>
      <c r="G786" s="1" t="s">
        <v>620</v>
      </c>
      <c r="H786" s="3" t="s">
        <v>626</v>
      </c>
      <c r="I786" s="3" t="s">
        <v>627</v>
      </c>
    </row>
    <row r="787" customFormat="false" ht="18.7" hidden="false" customHeight="true" outlineLevel="0" collapsed="false">
      <c r="A787" s="1" t="n">
        <v>786</v>
      </c>
      <c r="B787" s="7" t="str">
        <f aca="false">HYPERLINK("https://mncourtfraud.com/file/AIO-7.zip","AIO-7.zip")</f>
        <v>AIO-7.zip</v>
      </c>
      <c r="C787" s="8" t="str">
        <f aca="false">HYPERLINK("https://mncourtfraud.com/file/27-CR-19-1916.pdf","27-CR-19-1916")</f>
        <v>27-CR-19-1916</v>
      </c>
      <c r="D787" s="3" t="s">
        <v>586</v>
      </c>
      <c r="E787" s="8" t="str">
        <f aca="false">HYPERLINK("https://mncourtfraud.com/file/MCRO_27-CR-19-1916_Order for Production of Medical Records_2020-06-04_20240430091238.pdf","MCRO_27-CR-19-1916_Order for Production of Medical Records_2020-06-04_20240430091238.pdf")</f>
        <v>MCRO_27-CR-19-1916_Order for Production of Medical Records_2020-06-04_20240430091238.pdf</v>
      </c>
      <c r="F787" s="9" t="n">
        <v>43986</v>
      </c>
      <c r="G787" s="1" t="s">
        <v>620</v>
      </c>
      <c r="H787" s="3" t="s">
        <v>621</v>
      </c>
      <c r="I787" s="3" t="s">
        <v>628</v>
      </c>
    </row>
    <row r="788" customFormat="false" ht="18.7" hidden="false" customHeight="true" outlineLevel="0" collapsed="false">
      <c r="A788" s="1" t="n">
        <v>787</v>
      </c>
      <c r="B788" s="7" t="str">
        <f aca="false">HYPERLINK("https://mncourtfraud.com/file/AIO-7.zip","AIO-7.zip")</f>
        <v>AIO-7.zip</v>
      </c>
      <c r="C788" s="8" t="str">
        <f aca="false">HYPERLINK("https://mncourtfraud.com/file/27-CR-19-1916.pdf","27-CR-19-1916")</f>
        <v>27-CR-19-1916</v>
      </c>
      <c r="D788" s="3" t="s">
        <v>586</v>
      </c>
      <c r="E788" s="8" t="str">
        <f aca="false">HYPERLINK("https://mncourtfraud.com/file/MCRO_27-CR-19-1916_Proposed Order or Document_2020-06-04_20240430091239.pdf","MCRO_27-CR-19-1916_Proposed Order or Document_2020-06-04_20240430091239.pdf")</f>
        <v>MCRO_27-CR-19-1916_Proposed Order or Document_2020-06-04_20240430091239.pdf</v>
      </c>
      <c r="F788" s="9" t="n">
        <v>43986</v>
      </c>
      <c r="G788" s="1" t="s">
        <v>620</v>
      </c>
      <c r="H788" s="3" t="s">
        <v>629</v>
      </c>
      <c r="I788" s="3" t="s">
        <v>630</v>
      </c>
    </row>
    <row r="789" customFormat="false" ht="18.7" hidden="false" customHeight="true" outlineLevel="0" collapsed="false">
      <c r="A789" s="1" t="n">
        <v>788</v>
      </c>
      <c r="B789" s="7" t="str">
        <f aca="false">HYPERLINK("https://mncourtfraud.com/file/AIO-7.zip","AIO-7.zip")</f>
        <v>AIO-7.zip</v>
      </c>
      <c r="C789" s="8" t="str">
        <f aca="false">HYPERLINK("https://mncourtfraud.com/file/27-CR-19-3539.pdf","27-CR-19-3539")</f>
        <v>27-CR-19-3539</v>
      </c>
      <c r="D789" s="3" t="s">
        <v>586</v>
      </c>
      <c r="E789" s="8" t="str">
        <f aca="false">HYPERLINK("https://mncourtfraud.com/file/MCRO_27-CR-19-3539_Order-Other_2020-06-04_20240430091349.pdf","MCRO_27-CR-19-3539_Order-Other_2020-06-04_20240430091349.pdf")</f>
        <v>MCRO_27-CR-19-3539_Order-Other_2020-06-04_20240430091349.pdf</v>
      </c>
      <c r="F789" s="9" t="n">
        <v>43986</v>
      </c>
      <c r="G789" s="1" t="s">
        <v>620</v>
      </c>
      <c r="H789" s="3" t="s">
        <v>621</v>
      </c>
      <c r="I789" s="3" t="s">
        <v>631</v>
      </c>
    </row>
    <row r="790" customFormat="false" ht="18.7" hidden="false" customHeight="true" outlineLevel="0" collapsed="false">
      <c r="A790" s="1" t="n">
        <v>789</v>
      </c>
      <c r="B790" s="7" t="str">
        <f aca="false">HYPERLINK("https://mncourtfraud.com/file/AIO-7.zip","AIO-7.zip")</f>
        <v>AIO-7.zip</v>
      </c>
      <c r="C790" s="8" t="str">
        <f aca="false">HYPERLINK("https://mncourtfraud.com/file/27-CR-19-3539.pdf","27-CR-19-3539")</f>
        <v>27-CR-19-3539</v>
      </c>
      <c r="D790" s="3" t="s">
        <v>586</v>
      </c>
      <c r="E790" s="8" t="str">
        <f aca="false">HYPERLINK("https://mncourtfraud.com/file/MCRO_27-CR-19-3539_Proposed Order or Document_2020-06-04_20240430091350.pdf","MCRO_27-CR-19-3539_Proposed Order or Document_2020-06-04_20240430091350.pdf")</f>
        <v>MCRO_27-CR-19-3539_Proposed Order or Document_2020-06-04_20240430091350.pdf</v>
      </c>
      <c r="F790" s="9" t="n">
        <v>43986</v>
      </c>
      <c r="G790" s="1" t="s">
        <v>620</v>
      </c>
      <c r="H790" s="3" t="s">
        <v>632</v>
      </c>
      <c r="I790" s="3" t="s">
        <v>633</v>
      </c>
    </row>
    <row r="791" customFormat="false" ht="18.7" hidden="false" customHeight="true" outlineLevel="0" collapsed="false">
      <c r="A791" s="1" t="n">
        <v>790</v>
      </c>
      <c r="F791" s="9"/>
    </row>
    <row r="792" customFormat="false" ht="18.7" hidden="false" customHeight="true" outlineLevel="0" collapsed="false">
      <c r="A792" s="1" t="n">
        <v>791</v>
      </c>
      <c r="B792" s="7" t="str">
        <f aca="false">HYPERLINK("https://mncourtfraud.com/file/AIO-8.zip","AIO-8.zip")</f>
        <v>AIO-8.zip</v>
      </c>
      <c r="C792" s="8" t="str">
        <f aca="false">HYPERLINK("https://mncourtfraud.com/file/27-CR-18-18391.pdf","27-CR-18-18391")</f>
        <v>27-CR-18-18391</v>
      </c>
      <c r="D792" s="3" t="s">
        <v>586</v>
      </c>
      <c r="E792" s="8" t="str">
        <f aca="false">HYPERLINK("https://mncourtfraud.com/file/MCRO_27-CR-18-18391_Correspondence for Judicial Approval_2020-06-04_20240430092750.pdf","MCRO_27-CR-18-18391_Correspondence for Judicial Approval_2020-06-04_20240430092750.pdf")</f>
        <v>MCRO_27-CR-18-18391_Correspondence for Judicial Approval_2020-06-04_20240430092750.pdf</v>
      </c>
      <c r="F792" s="9" t="n">
        <v>43986</v>
      </c>
      <c r="G792" s="1" t="s">
        <v>634</v>
      </c>
      <c r="H792" s="3" t="s">
        <v>635</v>
      </c>
      <c r="I792" s="3" t="s">
        <v>636</v>
      </c>
    </row>
    <row r="793" customFormat="false" ht="18.7" hidden="false" customHeight="true" outlineLevel="0" collapsed="false">
      <c r="A793" s="1" t="n">
        <v>792</v>
      </c>
      <c r="B793" s="7" t="str">
        <f aca="false">HYPERLINK("https://mncourtfraud.com/file/AIO-8.zip","AIO-8.zip")</f>
        <v>AIO-8.zip</v>
      </c>
      <c r="C793" s="8" t="str">
        <f aca="false">HYPERLINK("https://mncourtfraud.com/file/27-CR-19-17539.pdf","27-CR-19-17539")</f>
        <v>27-CR-19-17539</v>
      </c>
      <c r="D793" s="3" t="s">
        <v>586</v>
      </c>
      <c r="E793" s="8" t="str">
        <f aca="false">HYPERLINK("https://mncourtfraud.com/file/MCRO_27-CR-19-17539_Correspondence for Judicial Approval_2020-06-04_20240430091958.pdf","MCRO_27-CR-19-17539_Correspondence for Judicial Approval_2020-06-04_20240430091958.pdf")</f>
        <v>MCRO_27-CR-19-17539_Correspondence for Judicial Approval_2020-06-04_20240430091958.pdf</v>
      </c>
      <c r="F793" s="9" t="n">
        <v>43986</v>
      </c>
      <c r="G793" s="1" t="s">
        <v>634</v>
      </c>
      <c r="H793" s="3" t="s">
        <v>637</v>
      </c>
      <c r="I793" s="3" t="s">
        <v>638</v>
      </c>
    </row>
    <row r="794" customFormat="false" ht="18.7" hidden="false" customHeight="true" outlineLevel="0" collapsed="false">
      <c r="A794" s="1" t="n">
        <v>793</v>
      </c>
      <c r="B794" s="7" t="str">
        <f aca="false">HYPERLINK("https://mncourtfraud.com/file/AIO-8.zip","AIO-8.zip")</f>
        <v>AIO-8.zip</v>
      </c>
      <c r="C794" s="8" t="str">
        <f aca="false">HYPERLINK("https://mncourtfraud.com/file/27-CR-19-1916.pdf","27-CR-19-1916")</f>
        <v>27-CR-19-1916</v>
      </c>
      <c r="D794" s="3" t="s">
        <v>586</v>
      </c>
      <c r="E794" s="8" t="str">
        <f aca="false">HYPERLINK("https://mncourtfraud.com/file/MCRO_27-CR-19-1916_Correspondence for Judicial Approval_2020-06-04_20240430091240.pdf","MCRO_27-CR-19-1916_Correspondence for Judicial Approval_2020-06-04_20240430091240.pdf")</f>
        <v>MCRO_27-CR-19-1916_Correspondence for Judicial Approval_2020-06-04_20240430091240.pdf</v>
      </c>
      <c r="F794" s="9" t="n">
        <v>43986</v>
      </c>
      <c r="G794" s="1" t="s">
        <v>634</v>
      </c>
      <c r="H794" s="3" t="s">
        <v>639</v>
      </c>
      <c r="I794" s="3" t="s">
        <v>640</v>
      </c>
    </row>
    <row r="795" customFormat="false" ht="18.7" hidden="false" customHeight="true" outlineLevel="0" collapsed="false">
      <c r="A795" s="1" t="n">
        <v>794</v>
      </c>
      <c r="B795" s="7" t="str">
        <f aca="false">HYPERLINK("https://mncourtfraud.com/file/AIO-8.zip","AIO-8.zip")</f>
        <v>AIO-8.zip</v>
      </c>
      <c r="C795" s="8" t="str">
        <f aca="false">HYPERLINK("https://mncourtfraud.com/file/27-CR-19-3539.pdf","27-CR-19-3539")</f>
        <v>27-CR-19-3539</v>
      </c>
      <c r="D795" s="3" t="s">
        <v>586</v>
      </c>
      <c r="E795" s="8" t="str">
        <f aca="false">HYPERLINK("https://mncourtfraud.com/file/MCRO_27-CR-19-3539_Correspondence for Judicial Approval_2020-06-04_20240430091351.pdf","MCRO_27-CR-19-3539_Correspondence for Judicial Approval_2020-06-04_20240430091351.pdf")</f>
        <v>MCRO_27-CR-19-3539_Correspondence for Judicial Approval_2020-06-04_20240430091351.pdf</v>
      </c>
      <c r="F795" s="9" t="n">
        <v>43986</v>
      </c>
      <c r="G795" s="1" t="s">
        <v>634</v>
      </c>
      <c r="H795" s="3" t="s">
        <v>641</v>
      </c>
      <c r="I795" s="3" t="s">
        <v>642</v>
      </c>
    </row>
    <row r="796" customFormat="false" ht="18.7" hidden="false" customHeight="true" outlineLevel="0" collapsed="false">
      <c r="A796" s="1" t="n">
        <v>795</v>
      </c>
      <c r="F796" s="9"/>
    </row>
    <row r="797" customFormat="false" ht="18.7" hidden="false" customHeight="true" outlineLevel="0" collapsed="false">
      <c r="A797" s="1" t="n">
        <v>796</v>
      </c>
      <c r="B797" s="7" t="str">
        <f aca="false">HYPERLINK("https://mncourtfraud.com/file/AIO-9.zip","AIO-9.zip")</f>
        <v>AIO-9.zip</v>
      </c>
      <c r="C797" s="8" t="str">
        <f aca="false">HYPERLINK("https://mncourtfraud.com/file/27-CR-18-18391.pdf","27-CR-18-18391")</f>
        <v>27-CR-18-18391</v>
      </c>
      <c r="D797" s="3" t="s">
        <v>586</v>
      </c>
      <c r="E797" s="8" t="str">
        <f aca="false">HYPERLINK("https://mncourtfraud.com/file/MCRO_27-CR-18-18391_Notice of Hearing_2020-09-23_20240430092746.pdf","MCRO_27-CR-18-18391_Notice of Hearing_2020-09-23_20240430092746.pdf")</f>
        <v>MCRO_27-CR-18-18391_Notice of Hearing_2020-09-23_20240430092746.pdf</v>
      </c>
      <c r="F797" s="9" t="n">
        <v>44097</v>
      </c>
      <c r="G797" s="1" t="s">
        <v>643</v>
      </c>
      <c r="H797" s="3" t="s">
        <v>644</v>
      </c>
      <c r="I797" s="3" t="s">
        <v>645</v>
      </c>
    </row>
    <row r="798" customFormat="false" ht="18.7" hidden="false" customHeight="true" outlineLevel="0" collapsed="false">
      <c r="A798" s="1" t="n">
        <v>797</v>
      </c>
      <c r="B798" s="7" t="str">
        <f aca="false">HYPERLINK("https://mncourtfraud.com/file/AIO-9.zip","AIO-9.zip")</f>
        <v>AIO-9.zip</v>
      </c>
      <c r="C798" s="8" t="str">
        <f aca="false">HYPERLINK("https://mncourtfraud.com/file/27-CR-19-17539.pdf","27-CR-19-17539")</f>
        <v>27-CR-19-17539</v>
      </c>
      <c r="D798" s="3" t="s">
        <v>586</v>
      </c>
      <c r="E798" s="8" t="str">
        <f aca="false">HYPERLINK("https://mncourtfraud.com/file/MCRO_27-CR-19-17539_Notice of Hearing_2020-09-23_20240430091954.pdf","MCRO_27-CR-19-17539_Notice of Hearing_2020-09-23_20240430091954.pdf")</f>
        <v>MCRO_27-CR-19-17539_Notice of Hearing_2020-09-23_20240430091954.pdf</v>
      </c>
      <c r="F798" s="9" t="n">
        <v>44097</v>
      </c>
      <c r="G798" s="1" t="s">
        <v>643</v>
      </c>
      <c r="H798" s="3" t="s">
        <v>644</v>
      </c>
      <c r="I798" s="3" t="s">
        <v>646</v>
      </c>
    </row>
    <row r="799" customFormat="false" ht="18.7" hidden="false" customHeight="true" outlineLevel="0" collapsed="false">
      <c r="A799" s="1" t="n">
        <v>798</v>
      </c>
      <c r="B799" s="7" t="str">
        <f aca="false">HYPERLINK("https://mncourtfraud.com/file/AIO-9.zip","AIO-9.zip")</f>
        <v>AIO-9.zip</v>
      </c>
      <c r="C799" s="8" t="str">
        <f aca="false">HYPERLINK("https://mncourtfraud.com/file/27-CR-19-1916.pdf","27-CR-19-1916")</f>
        <v>27-CR-19-1916</v>
      </c>
      <c r="D799" s="3" t="s">
        <v>586</v>
      </c>
      <c r="E799" s="8" t="str">
        <f aca="false">HYPERLINK("https://mncourtfraud.com/file/MCRO_27-CR-19-1916_Notice of Hearing_2020-09-23_20240430091235.pdf","MCRO_27-CR-19-1916_Notice of Hearing_2020-09-23_20240430091235.pdf")</f>
        <v>MCRO_27-CR-19-1916_Notice of Hearing_2020-09-23_20240430091235.pdf</v>
      </c>
      <c r="F799" s="9" t="n">
        <v>44097</v>
      </c>
      <c r="G799" s="1" t="s">
        <v>643</v>
      </c>
      <c r="H799" s="3" t="s">
        <v>644</v>
      </c>
      <c r="I799" s="3" t="s">
        <v>647</v>
      </c>
    </row>
    <row r="800" customFormat="false" ht="18.7" hidden="false" customHeight="true" outlineLevel="0" collapsed="false">
      <c r="A800" s="1" t="n">
        <v>799</v>
      </c>
      <c r="B800" s="7" t="str">
        <f aca="false">HYPERLINK("https://mncourtfraud.com/file/AIO-9.zip","AIO-9.zip")</f>
        <v>AIO-9.zip</v>
      </c>
      <c r="C800" s="8" t="str">
        <f aca="false">HYPERLINK("https://mncourtfraud.com/file/27-CR-19-3539.pdf","27-CR-19-3539")</f>
        <v>27-CR-19-3539</v>
      </c>
      <c r="D800" s="3" t="s">
        <v>586</v>
      </c>
      <c r="E800" s="8" t="str">
        <f aca="false">HYPERLINK("https://mncourtfraud.com/file/MCRO_27-CR-19-3539_Notice of Hearing_2020-09-23_20240430091347.pdf","MCRO_27-CR-19-3539_Notice of Hearing_2020-09-23_20240430091347.pdf")</f>
        <v>MCRO_27-CR-19-3539_Notice of Hearing_2020-09-23_20240430091347.pdf</v>
      </c>
      <c r="F800" s="9" t="n">
        <v>44097</v>
      </c>
      <c r="G800" s="1" t="s">
        <v>643</v>
      </c>
      <c r="H800" s="3" t="s">
        <v>644</v>
      </c>
      <c r="I800" s="3" t="s">
        <v>648</v>
      </c>
    </row>
    <row r="801" customFormat="false" ht="18.7" hidden="false" customHeight="true" outlineLevel="0" collapsed="false">
      <c r="A801" s="1" t="n">
        <v>800</v>
      </c>
      <c r="F801" s="9"/>
    </row>
    <row r="802" customFormat="false" ht="18.7" hidden="false" customHeight="true" outlineLevel="0" collapsed="false">
      <c r="A802" s="1" t="n">
        <v>801</v>
      </c>
      <c r="B802" s="7" t="str">
        <f aca="false">HYPERLINK("https://mncourtfraud.com/file/AIO-10.zip","AIO-10.zip")</f>
        <v>AIO-10.zip</v>
      </c>
      <c r="C802" s="8" t="str">
        <f aca="false">HYPERLINK("https://mncourtfraud.com/file/27-CR-18-18391.pdf","27-CR-18-18391")</f>
        <v>27-CR-18-18391</v>
      </c>
      <c r="D802" s="3" t="s">
        <v>586</v>
      </c>
      <c r="E802" s="8" t="str">
        <f aca="false">HYPERLINK("https://mncourtfraud.com/file/MCRO_27-CR-18-18391_Notice of Hearing_2020-10-27_20240430092743.pdf","MCRO_27-CR-18-18391_Notice of Hearing_2020-10-27_20240430092743.pdf")</f>
        <v>MCRO_27-CR-18-18391_Notice of Hearing_2020-10-27_20240430092743.pdf</v>
      </c>
      <c r="F802" s="9" t="n">
        <v>44131</v>
      </c>
      <c r="G802" s="1" t="s">
        <v>649</v>
      </c>
      <c r="H802" s="3" t="s">
        <v>650</v>
      </c>
      <c r="I802" s="3" t="s">
        <v>651</v>
      </c>
    </row>
    <row r="803" customFormat="false" ht="18.7" hidden="false" customHeight="true" outlineLevel="0" collapsed="false">
      <c r="A803" s="1" t="n">
        <v>802</v>
      </c>
      <c r="B803" s="7" t="str">
        <f aca="false">HYPERLINK("https://mncourtfraud.com/file/AIO-10.zip","AIO-10.zip")</f>
        <v>AIO-10.zip</v>
      </c>
      <c r="C803" s="8" t="str">
        <f aca="false">HYPERLINK("https://mncourtfraud.com/file/27-CR-19-17539.pdf","27-CR-19-17539")</f>
        <v>27-CR-19-17539</v>
      </c>
      <c r="D803" s="3" t="s">
        <v>586</v>
      </c>
      <c r="E803" s="8" t="str">
        <f aca="false">HYPERLINK("https://mncourtfraud.com/file/MCRO_27-CR-19-17539_Notice of Hearing_2020-10-27_20240430091953.pdf","MCRO_27-CR-19-17539_Notice of Hearing_2020-10-27_20240430091953.pdf")</f>
        <v>MCRO_27-CR-19-17539_Notice of Hearing_2020-10-27_20240430091953.pdf</v>
      </c>
      <c r="F803" s="9" t="n">
        <v>44131</v>
      </c>
      <c r="G803" s="1" t="s">
        <v>649</v>
      </c>
      <c r="H803" s="3" t="s">
        <v>650</v>
      </c>
      <c r="I803" s="3" t="s">
        <v>652</v>
      </c>
    </row>
    <row r="804" customFormat="false" ht="18.7" hidden="false" customHeight="true" outlineLevel="0" collapsed="false">
      <c r="A804" s="1" t="n">
        <v>803</v>
      </c>
      <c r="B804" s="7" t="str">
        <f aca="false">HYPERLINK("https://mncourtfraud.com/file/AIO-10.zip","AIO-10.zip")</f>
        <v>AIO-10.zip</v>
      </c>
      <c r="C804" s="8" t="str">
        <f aca="false">HYPERLINK("https://mncourtfraud.com/file/27-CR-19-1916.pdf","27-CR-19-1916")</f>
        <v>27-CR-19-1916</v>
      </c>
      <c r="D804" s="3" t="s">
        <v>586</v>
      </c>
      <c r="E804" s="8" t="str">
        <f aca="false">HYPERLINK("https://mncourtfraud.com/file/MCRO_27-CR-19-1916_Notice of Hearing_2020-10-27_20240430091234.pdf","MCRO_27-CR-19-1916_Notice of Hearing_2020-10-27_20240430091234.pdf")</f>
        <v>MCRO_27-CR-19-1916_Notice of Hearing_2020-10-27_20240430091234.pdf</v>
      </c>
      <c r="F804" s="9" t="n">
        <v>44131</v>
      </c>
      <c r="G804" s="1" t="s">
        <v>649</v>
      </c>
      <c r="H804" s="3" t="s">
        <v>650</v>
      </c>
      <c r="I804" s="3" t="s">
        <v>653</v>
      </c>
    </row>
    <row r="805" customFormat="false" ht="18.7" hidden="false" customHeight="true" outlineLevel="0" collapsed="false">
      <c r="A805" s="1" t="n">
        <v>804</v>
      </c>
      <c r="B805" s="7" t="str">
        <f aca="false">HYPERLINK("https://mncourtfraud.com/file/AIO-10.zip","AIO-10.zip")</f>
        <v>AIO-10.zip</v>
      </c>
      <c r="C805" s="8" t="str">
        <f aca="false">HYPERLINK("https://mncourtfraud.com/file/27-CR-19-3539.pdf","27-CR-19-3539")</f>
        <v>27-CR-19-3539</v>
      </c>
      <c r="D805" s="3" t="s">
        <v>586</v>
      </c>
      <c r="E805" s="8" t="str">
        <f aca="false">HYPERLINK("https://mncourtfraud.com/file/MCRO_27-CR-19-3539_Notice of Hearing_2020-10-27_20240430091346.pdf","MCRO_27-CR-19-3539_Notice of Hearing_2020-10-27_20240430091346.pdf")</f>
        <v>MCRO_27-CR-19-3539_Notice of Hearing_2020-10-27_20240430091346.pdf</v>
      </c>
      <c r="F805" s="9" t="n">
        <v>44131</v>
      </c>
      <c r="G805" s="1" t="s">
        <v>649</v>
      </c>
      <c r="H805" s="3" t="s">
        <v>650</v>
      </c>
      <c r="I805" s="3" t="s">
        <v>654</v>
      </c>
    </row>
    <row r="806" customFormat="false" ht="18.7" hidden="false" customHeight="true" outlineLevel="0" collapsed="false">
      <c r="A806" s="1" t="n">
        <v>805</v>
      </c>
      <c r="F806" s="9"/>
    </row>
    <row r="807" customFormat="false" ht="18.7" hidden="false" customHeight="true" outlineLevel="0" collapsed="false">
      <c r="A807" s="1" t="n">
        <v>806</v>
      </c>
      <c r="B807" s="7" t="str">
        <f aca="false">HYPERLINK("https://mncourtfraud.com/file/AIO-11.zip","AIO-11.zip")</f>
        <v>AIO-11.zip</v>
      </c>
      <c r="C807" s="8" t="str">
        <f aca="false">HYPERLINK("https://mncourtfraud.com/file/27-CR-18-18391.pdf","27-CR-18-18391")</f>
        <v>27-CR-18-18391</v>
      </c>
      <c r="D807" s="3" t="s">
        <v>586</v>
      </c>
      <c r="E807" s="8" t="str">
        <f aca="false">HYPERLINK("https://mncourtfraud.com/file/MCRO_27-CR-18-18391_Order-Evaluation for Competency to Proceed (Rule 20.01)_2020-11-13_20240430092743.pdf","MCRO_27-CR-18-18391_Order-Evaluation for Competency to Proceed (Rule 20.01)_2020-11-13_20240430092743.pdf")</f>
        <v>MCRO_27-CR-18-18391_Order-Evaluation for Competency to Proceed (Rule 20.01)_2020-11-13_20240430092743.pdf</v>
      </c>
      <c r="F807" s="9" t="n">
        <v>44148</v>
      </c>
      <c r="G807" s="1" t="s">
        <v>655</v>
      </c>
      <c r="H807" s="3" t="s">
        <v>656</v>
      </c>
      <c r="I807" s="3" t="s">
        <v>657</v>
      </c>
    </row>
    <row r="808" customFormat="false" ht="18.7" hidden="false" customHeight="true" outlineLevel="0" collapsed="false">
      <c r="A808" s="1" t="n">
        <v>807</v>
      </c>
      <c r="B808" s="7" t="str">
        <f aca="false">HYPERLINK("https://mncourtfraud.com/file/AIO-11.zip","AIO-11.zip")</f>
        <v>AIO-11.zip</v>
      </c>
      <c r="C808" s="8" t="str">
        <f aca="false">HYPERLINK("https://mncourtfraud.com/file/27-CR-19-17539.pdf","27-CR-19-17539")</f>
        <v>27-CR-19-17539</v>
      </c>
      <c r="D808" s="3" t="s">
        <v>586</v>
      </c>
      <c r="E808" s="8" t="str">
        <f aca="false">HYPERLINK("https://mncourtfraud.com/file/MCRO_27-CR-19-17539_Order-Evaluation for Competency to Proceed (Rule 20.01)_2020-11-13_20240430091952.pdf","MCRO_27-CR-19-17539_Order-Evaluation for Competency to Proceed (Rule 20.01)_2020-11-13_20240430091952.pdf")</f>
        <v>MCRO_27-CR-19-17539_Order-Evaluation for Competency to Proceed (Rule 20.01)_2020-11-13_20240430091952.pdf</v>
      </c>
      <c r="F808" s="9" t="n">
        <v>44148</v>
      </c>
      <c r="G808" s="1" t="s">
        <v>655</v>
      </c>
      <c r="H808" s="3" t="s">
        <v>656</v>
      </c>
      <c r="I808" s="3" t="s">
        <v>658</v>
      </c>
    </row>
    <row r="809" customFormat="false" ht="18.7" hidden="false" customHeight="true" outlineLevel="0" collapsed="false">
      <c r="A809" s="1" t="n">
        <v>808</v>
      </c>
      <c r="B809" s="7" t="str">
        <f aca="false">HYPERLINK("https://mncourtfraud.com/file/AIO-11.zip","AIO-11.zip")</f>
        <v>AIO-11.zip</v>
      </c>
      <c r="C809" s="8" t="str">
        <f aca="false">HYPERLINK("https://mncourtfraud.com/file/27-CR-19-1916.pdf","27-CR-19-1916")</f>
        <v>27-CR-19-1916</v>
      </c>
      <c r="D809" s="3" t="s">
        <v>586</v>
      </c>
      <c r="E809" s="8" t="str">
        <f aca="false">HYPERLINK("https://mncourtfraud.com/file/MCRO_27-CR-19-1916_Order-Evaluation for Competency to Proceed (Rule 20.01)_2020-11-13_20240430091233.pdf","MCRO_27-CR-19-1916_Order-Evaluation for Competency to Proceed (Rule 20.01)_2020-11-13_20240430091233.pdf")</f>
        <v>MCRO_27-CR-19-1916_Order-Evaluation for Competency to Proceed (Rule 20.01)_2020-11-13_20240430091233.pdf</v>
      </c>
      <c r="F809" s="9" t="n">
        <v>44148</v>
      </c>
      <c r="G809" s="1" t="s">
        <v>655</v>
      </c>
      <c r="H809" s="3" t="s">
        <v>656</v>
      </c>
      <c r="I809" s="3" t="s">
        <v>659</v>
      </c>
    </row>
    <row r="810" customFormat="false" ht="18.7" hidden="false" customHeight="true" outlineLevel="0" collapsed="false">
      <c r="A810" s="1" t="n">
        <v>809</v>
      </c>
      <c r="B810" s="7" t="str">
        <f aca="false">HYPERLINK("https://mncourtfraud.com/file/AIO-11.zip","AIO-11.zip")</f>
        <v>AIO-11.zip</v>
      </c>
      <c r="C810" s="8" t="str">
        <f aca="false">HYPERLINK("https://mncourtfraud.com/file/27-CR-19-3539.pdf","27-CR-19-3539")</f>
        <v>27-CR-19-3539</v>
      </c>
      <c r="D810" s="3" t="s">
        <v>586</v>
      </c>
      <c r="E810" s="8" t="str">
        <f aca="false">HYPERLINK("https://mncourtfraud.com/file/MCRO_27-CR-19-3539_Order-Evaluation for Competency to Proceed (Rule 20.01)_2020-11-13_20240430091345.pdf","MCRO_27-CR-19-3539_Order-Evaluation for Competency to Proceed (Rule 20.01)_2020-11-13_20240430091345.pdf")</f>
        <v>MCRO_27-CR-19-3539_Order-Evaluation for Competency to Proceed (Rule 20.01)_2020-11-13_20240430091345.pdf</v>
      </c>
      <c r="F810" s="9" t="n">
        <v>44148</v>
      </c>
      <c r="G810" s="1" t="s">
        <v>655</v>
      </c>
      <c r="H810" s="3" t="s">
        <v>656</v>
      </c>
      <c r="I810" s="3" t="s">
        <v>660</v>
      </c>
    </row>
    <row r="811" customFormat="false" ht="18.7" hidden="false" customHeight="true" outlineLevel="0" collapsed="false">
      <c r="A811" s="1" t="n">
        <v>810</v>
      </c>
      <c r="F811" s="9"/>
    </row>
    <row r="812" customFormat="false" ht="18.7" hidden="false" customHeight="true" outlineLevel="0" collapsed="false">
      <c r="A812" s="1" t="n">
        <v>811</v>
      </c>
      <c r="B812" s="7" t="str">
        <f aca="false">HYPERLINK("https://mncourtfraud.com/file/AIO-12.zip","AIO-12.zip")</f>
        <v>AIO-12.zip</v>
      </c>
      <c r="C812" s="8" t="str">
        <f aca="false">HYPERLINK("https://mncourtfraud.com/file/27-CR-18-18391.pdf","27-CR-18-18391")</f>
        <v>27-CR-18-18391</v>
      </c>
      <c r="D812" s="3" t="s">
        <v>586</v>
      </c>
      <c r="E812" s="8" t="str">
        <f aca="false">HYPERLINK("https://mncourtfraud.com/file/MCRO_27-CR-18-18391_Notice of Hearing_2020-11-17_20240430092741.pdf","MCRO_27-CR-18-18391_Notice of Hearing_2020-11-17_20240430092741.pdf")</f>
        <v>MCRO_27-CR-18-18391_Notice of Hearing_2020-11-17_20240430092741.pdf</v>
      </c>
      <c r="F812" s="9" t="n">
        <v>44152</v>
      </c>
      <c r="G812" s="1" t="s">
        <v>661</v>
      </c>
      <c r="H812" s="3" t="s">
        <v>662</v>
      </c>
      <c r="I812" s="3" t="s">
        <v>663</v>
      </c>
    </row>
    <row r="813" customFormat="false" ht="18.7" hidden="false" customHeight="true" outlineLevel="0" collapsed="false">
      <c r="A813" s="1" t="n">
        <v>812</v>
      </c>
      <c r="B813" s="7" t="str">
        <f aca="false">HYPERLINK("https://mncourtfraud.com/file/AIO-12.zip","AIO-12.zip")</f>
        <v>AIO-12.zip</v>
      </c>
      <c r="C813" s="8" t="str">
        <f aca="false">HYPERLINK("https://mncourtfraud.com/file/27-CR-19-17539.pdf","27-CR-19-17539")</f>
        <v>27-CR-19-17539</v>
      </c>
      <c r="D813" s="3" t="s">
        <v>586</v>
      </c>
      <c r="E813" s="8" t="str">
        <f aca="false">HYPERLINK("https://mncourtfraud.com/file/MCRO_27-CR-19-17539_Notice of Hearing_2020-11-17_20240430091951.pdf","MCRO_27-CR-19-17539_Notice of Hearing_2020-11-17_20240430091951.pdf")</f>
        <v>MCRO_27-CR-19-17539_Notice of Hearing_2020-11-17_20240430091951.pdf</v>
      </c>
      <c r="F813" s="9" t="n">
        <v>44152</v>
      </c>
      <c r="G813" s="1" t="s">
        <v>661</v>
      </c>
      <c r="H813" s="3" t="s">
        <v>662</v>
      </c>
      <c r="I813" s="3" t="s">
        <v>664</v>
      </c>
    </row>
    <row r="814" customFormat="false" ht="18.7" hidden="false" customHeight="true" outlineLevel="0" collapsed="false">
      <c r="A814" s="1" t="n">
        <v>813</v>
      </c>
      <c r="B814" s="7" t="str">
        <f aca="false">HYPERLINK("https://mncourtfraud.com/file/AIO-12.zip","AIO-12.zip")</f>
        <v>AIO-12.zip</v>
      </c>
      <c r="C814" s="8" t="str">
        <f aca="false">HYPERLINK("https://mncourtfraud.com/file/27-CR-19-1916.pdf","27-CR-19-1916")</f>
        <v>27-CR-19-1916</v>
      </c>
      <c r="D814" s="3" t="s">
        <v>586</v>
      </c>
      <c r="E814" s="8" t="str">
        <f aca="false">HYPERLINK("https://mncourtfraud.com/file/MCRO_27-CR-19-1916_Notice of Hearing_2020-11-17_20240430091232.pdf","MCRO_27-CR-19-1916_Notice of Hearing_2020-11-17_20240430091232.pdf")</f>
        <v>MCRO_27-CR-19-1916_Notice of Hearing_2020-11-17_20240430091232.pdf</v>
      </c>
      <c r="F814" s="9" t="n">
        <v>44152</v>
      </c>
      <c r="G814" s="1" t="s">
        <v>661</v>
      </c>
      <c r="H814" s="3" t="s">
        <v>662</v>
      </c>
      <c r="I814" s="3" t="s">
        <v>665</v>
      </c>
    </row>
    <row r="815" customFormat="false" ht="18.7" hidden="false" customHeight="true" outlineLevel="0" collapsed="false">
      <c r="A815" s="1" t="n">
        <v>814</v>
      </c>
      <c r="B815" s="7" t="str">
        <f aca="false">HYPERLINK("https://mncourtfraud.com/file/AIO-12.zip","AIO-12.zip")</f>
        <v>AIO-12.zip</v>
      </c>
      <c r="C815" s="8" t="str">
        <f aca="false">HYPERLINK("https://mncourtfraud.com/file/27-CR-19-3539.pdf","27-CR-19-3539")</f>
        <v>27-CR-19-3539</v>
      </c>
      <c r="D815" s="3" t="s">
        <v>586</v>
      </c>
      <c r="E815" s="8" t="str">
        <f aca="false">HYPERLINK("https://mncourtfraud.com/file/MCRO_27-CR-19-3539_Notice of Hearing_2020-11-17_20240430091344.pdf","MCRO_27-CR-19-3539_Notice of Hearing_2020-11-17_20240430091344.pdf")</f>
        <v>MCRO_27-CR-19-3539_Notice of Hearing_2020-11-17_20240430091344.pdf</v>
      </c>
      <c r="F815" s="9" t="n">
        <v>44152</v>
      </c>
      <c r="G815" s="1" t="s">
        <v>661</v>
      </c>
      <c r="H815" s="3" t="s">
        <v>662</v>
      </c>
      <c r="I815" s="3" t="s">
        <v>666</v>
      </c>
    </row>
    <row r="816" customFormat="false" ht="18.7" hidden="false" customHeight="true" outlineLevel="0" collapsed="false">
      <c r="A816" s="1" t="n">
        <v>815</v>
      </c>
      <c r="F816" s="9"/>
    </row>
    <row r="817" customFormat="false" ht="18.7" hidden="false" customHeight="true" outlineLevel="0" collapsed="false">
      <c r="A817" s="1" t="n">
        <v>816</v>
      </c>
      <c r="B817" s="7" t="str">
        <f aca="false">HYPERLINK("https://mncourtfraud.com/file/AIO-13.zip","AIO-13.zip")</f>
        <v>AIO-13.zip</v>
      </c>
      <c r="C817" s="8" t="str">
        <f aca="false">HYPERLINK("https://mncourtfraud.com/file/27-CR-18-18391.pdf","27-CR-18-18391")</f>
        <v>27-CR-18-18391</v>
      </c>
      <c r="D817" s="3" t="s">
        <v>586</v>
      </c>
      <c r="E817" s="8" t="str">
        <f aca="false">HYPERLINK("https://mncourtfraud.com/file/MCRO_27-CR-18-18391_Notice of Hearing_2021-01-13_20240430092741.pdf","MCRO_27-CR-18-18391_Notice of Hearing_2021-01-13_20240430092741.pdf")</f>
        <v>MCRO_27-CR-18-18391_Notice of Hearing_2021-01-13_20240430092741.pdf</v>
      </c>
      <c r="F817" s="9" t="n">
        <v>44209</v>
      </c>
      <c r="G817" s="1" t="s">
        <v>667</v>
      </c>
      <c r="H817" s="3" t="s">
        <v>668</v>
      </c>
      <c r="I817" s="3" t="s">
        <v>669</v>
      </c>
    </row>
    <row r="818" customFormat="false" ht="18.7" hidden="false" customHeight="true" outlineLevel="0" collapsed="false">
      <c r="A818" s="1" t="n">
        <v>817</v>
      </c>
      <c r="B818" s="7" t="str">
        <f aca="false">HYPERLINK("https://mncourtfraud.com/file/AIO-13.zip","AIO-13.zip")</f>
        <v>AIO-13.zip</v>
      </c>
      <c r="C818" s="8" t="str">
        <f aca="false">HYPERLINK("https://mncourtfraud.com/file/27-CR-19-17539.pdf","27-CR-19-17539")</f>
        <v>27-CR-19-17539</v>
      </c>
      <c r="D818" s="3" t="s">
        <v>586</v>
      </c>
      <c r="E818" s="8" t="str">
        <f aca="false">HYPERLINK("https://mncourtfraud.com/file/MCRO_27-CR-19-17539_Notice of Hearing_2021-01-13_20240430091950.pdf","MCRO_27-CR-19-17539_Notice of Hearing_2021-01-13_20240430091950.pdf")</f>
        <v>MCRO_27-CR-19-17539_Notice of Hearing_2021-01-13_20240430091950.pdf</v>
      </c>
      <c r="F818" s="9" t="n">
        <v>44209</v>
      </c>
      <c r="G818" s="1" t="s">
        <v>667</v>
      </c>
      <c r="H818" s="3" t="s">
        <v>668</v>
      </c>
      <c r="I818" s="3" t="s">
        <v>670</v>
      </c>
    </row>
    <row r="819" customFormat="false" ht="18.7" hidden="false" customHeight="true" outlineLevel="0" collapsed="false">
      <c r="A819" s="1" t="n">
        <v>818</v>
      </c>
      <c r="B819" s="7" t="str">
        <f aca="false">HYPERLINK("https://mncourtfraud.com/file/AIO-13.zip","AIO-13.zip")</f>
        <v>AIO-13.zip</v>
      </c>
      <c r="C819" s="8" t="str">
        <f aca="false">HYPERLINK("https://mncourtfraud.com/file/27-CR-19-1916.pdf","27-CR-19-1916")</f>
        <v>27-CR-19-1916</v>
      </c>
      <c r="D819" s="3" t="s">
        <v>586</v>
      </c>
      <c r="E819" s="8" t="str">
        <f aca="false">HYPERLINK("https://mncourtfraud.com/file/MCRO_27-CR-19-1916_Notice of Hearing_2021-01-13_20240430091231.pdf","MCRO_27-CR-19-1916_Notice of Hearing_2021-01-13_20240430091231.pdf")</f>
        <v>MCRO_27-CR-19-1916_Notice of Hearing_2021-01-13_20240430091231.pdf</v>
      </c>
      <c r="F819" s="9" t="n">
        <v>44209</v>
      </c>
      <c r="G819" s="1" t="s">
        <v>667</v>
      </c>
      <c r="H819" s="3" t="s">
        <v>668</v>
      </c>
      <c r="I819" s="3" t="s">
        <v>671</v>
      </c>
    </row>
    <row r="820" customFormat="false" ht="18.7" hidden="false" customHeight="true" outlineLevel="0" collapsed="false">
      <c r="A820" s="1" t="n">
        <v>819</v>
      </c>
      <c r="B820" s="7" t="str">
        <f aca="false">HYPERLINK("https://mncourtfraud.com/file/AIO-13.zip","AIO-13.zip")</f>
        <v>AIO-13.zip</v>
      </c>
      <c r="C820" s="8" t="str">
        <f aca="false">HYPERLINK("https://mncourtfraud.com/file/27-CR-19-3539.pdf","27-CR-19-3539")</f>
        <v>27-CR-19-3539</v>
      </c>
      <c r="D820" s="3" t="s">
        <v>586</v>
      </c>
      <c r="E820" s="8" t="str">
        <f aca="false">HYPERLINK("https://mncourtfraud.com/file/MCRO_27-CR-19-3539_Notice of Hearing_2021-01-13_20240430091343.pdf","MCRO_27-CR-19-3539_Notice of Hearing_2021-01-13_20240430091343.pdf")</f>
        <v>MCRO_27-CR-19-3539_Notice of Hearing_2021-01-13_20240430091343.pdf</v>
      </c>
      <c r="F820" s="9" t="n">
        <v>44209</v>
      </c>
      <c r="G820" s="1" t="s">
        <v>667</v>
      </c>
      <c r="H820" s="3" t="s">
        <v>668</v>
      </c>
      <c r="I820" s="3" t="s">
        <v>672</v>
      </c>
    </row>
    <row r="821" customFormat="false" ht="18.7" hidden="false" customHeight="true" outlineLevel="0" collapsed="false">
      <c r="A821" s="1" t="n">
        <v>820</v>
      </c>
      <c r="F821" s="9"/>
    </row>
    <row r="822" customFormat="false" ht="18.7" hidden="false" customHeight="true" outlineLevel="0" collapsed="false">
      <c r="A822" s="1" t="n">
        <v>821</v>
      </c>
      <c r="B822" s="7" t="str">
        <f aca="false">HYPERLINK("https://mncourtfraud.com/file/AIO-14.zip","AIO-14.zip")</f>
        <v>AIO-14.zip</v>
      </c>
      <c r="C822" s="8" t="str">
        <f aca="false">HYPERLINK("https://mncourtfraud.com/file/27-CR-18-18391.pdf","27-CR-18-18391")</f>
        <v>27-CR-18-18391</v>
      </c>
      <c r="D822" s="3" t="s">
        <v>586</v>
      </c>
      <c r="E822" s="8" t="str">
        <f aca="false">HYPERLINK("https://mncourtfraud.com/file/MCRO_27-CR-18-18391_Notice by Attorney or Party_2021-04-01_20240430092739.pdf","MCRO_27-CR-18-18391_Notice by Attorney or Party_2021-04-01_20240430092739.pdf")</f>
        <v>MCRO_27-CR-18-18391_Notice by Attorney or Party_2021-04-01_20240430092739.pdf</v>
      </c>
      <c r="F822" s="9" t="n">
        <v>44287</v>
      </c>
      <c r="G822" s="1" t="s">
        <v>673</v>
      </c>
      <c r="H822" s="3" t="s">
        <v>674</v>
      </c>
      <c r="I822" s="3" t="s">
        <v>675</v>
      </c>
    </row>
    <row r="823" customFormat="false" ht="18.7" hidden="false" customHeight="true" outlineLevel="0" collapsed="false">
      <c r="A823" s="1" t="n">
        <v>822</v>
      </c>
      <c r="B823" s="7" t="str">
        <f aca="false">HYPERLINK("https://mncourtfraud.com/file/AIO-14.zip","AIO-14.zip")</f>
        <v>AIO-14.zip</v>
      </c>
      <c r="C823" s="8" t="str">
        <f aca="false">HYPERLINK("https://mncourtfraud.com/file/27-CR-19-17539.pdf","27-CR-19-17539")</f>
        <v>27-CR-19-17539</v>
      </c>
      <c r="D823" s="3" t="s">
        <v>586</v>
      </c>
      <c r="E823" s="8" t="str">
        <f aca="false">HYPERLINK("https://mncourtfraud.com/file/MCRO_27-CR-19-17539_Notice by Attorney or Party_2021-04-01_20240430091949.pdf","MCRO_27-CR-19-17539_Notice by Attorney or Party_2021-04-01_20240430091949.pdf")</f>
        <v>MCRO_27-CR-19-17539_Notice by Attorney or Party_2021-04-01_20240430091949.pdf</v>
      </c>
      <c r="F823" s="9" t="n">
        <v>44287</v>
      </c>
      <c r="G823" s="1" t="s">
        <v>673</v>
      </c>
      <c r="H823" s="3" t="s">
        <v>676</v>
      </c>
      <c r="I823" s="3" t="s">
        <v>677</v>
      </c>
    </row>
    <row r="824" customFormat="false" ht="18.7" hidden="false" customHeight="true" outlineLevel="0" collapsed="false">
      <c r="A824" s="1" t="n">
        <v>823</v>
      </c>
      <c r="B824" s="7" t="str">
        <f aca="false">HYPERLINK("https://mncourtfraud.com/file/AIO-14.zip","AIO-14.zip")</f>
        <v>AIO-14.zip</v>
      </c>
      <c r="C824" s="8" t="str">
        <f aca="false">HYPERLINK("https://mncourtfraud.com/file/27-CR-19-1916.pdf","27-CR-19-1916")</f>
        <v>27-CR-19-1916</v>
      </c>
      <c r="D824" s="3" t="s">
        <v>586</v>
      </c>
      <c r="E824" s="8" t="str">
        <f aca="false">HYPERLINK("https://mncourtfraud.com/file/MCRO_27-CR-19-1916_Notice by Attorney or Party_2021-04-01_20240430091230.pdf","MCRO_27-CR-19-1916_Notice by Attorney or Party_2021-04-01_20240430091230.pdf")</f>
        <v>MCRO_27-CR-19-1916_Notice by Attorney or Party_2021-04-01_20240430091230.pdf</v>
      </c>
      <c r="F824" s="9" t="n">
        <v>44287</v>
      </c>
      <c r="G824" s="1" t="s">
        <v>673</v>
      </c>
      <c r="H824" s="3" t="s">
        <v>678</v>
      </c>
      <c r="I824" s="3" t="s">
        <v>679</v>
      </c>
    </row>
    <row r="825" customFormat="false" ht="18.7" hidden="false" customHeight="true" outlineLevel="0" collapsed="false">
      <c r="A825" s="1" t="n">
        <v>824</v>
      </c>
      <c r="B825" s="7" t="str">
        <f aca="false">HYPERLINK("https://mncourtfraud.com/file/AIO-14.zip","AIO-14.zip")</f>
        <v>AIO-14.zip</v>
      </c>
      <c r="C825" s="8" t="str">
        <f aca="false">HYPERLINK("https://mncourtfraud.com/file/27-CR-19-3539.pdf","27-CR-19-3539")</f>
        <v>27-CR-19-3539</v>
      </c>
      <c r="D825" s="3" t="s">
        <v>586</v>
      </c>
      <c r="E825" s="8" t="str">
        <f aca="false">HYPERLINK("https://mncourtfraud.com/file/MCRO_27-CR-19-3539_Notice by Attorney or Party_2021-04-01_20240430091342.pdf","MCRO_27-CR-19-3539_Notice by Attorney or Party_2021-04-01_20240430091342.pdf")</f>
        <v>MCRO_27-CR-19-3539_Notice by Attorney or Party_2021-04-01_20240430091342.pdf</v>
      </c>
      <c r="F825" s="9" t="n">
        <v>44287</v>
      </c>
      <c r="G825" s="1" t="s">
        <v>673</v>
      </c>
      <c r="H825" s="3" t="s">
        <v>680</v>
      </c>
      <c r="I825" s="3" t="s">
        <v>681</v>
      </c>
    </row>
    <row r="826" customFormat="false" ht="18.7" hidden="false" customHeight="true" outlineLevel="0" collapsed="false">
      <c r="A826" s="1" t="n">
        <v>825</v>
      </c>
      <c r="F826" s="9"/>
    </row>
    <row r="827" customFormat="false" ht="18.7" hidden="false" customHeight="true" outlineLevel="0" collapsed="false">
      <c r="A827" s="1" t="n">
        <v>826</v>
      </c>
      <c r="B827" s="7" t="str">
        <f aca="false">HYPERLINK("https://mncourtfraud.com/file/AIO-15.zip","AIO-15.zip")</f>
        <v>AIO-15.zip</v>
      </c>
      <c r="C827" s="8" t="str">
        <f aca="false">HYPERLINK("https://mncourtfraud.com/file/27-CR-18-18391.pdf","27-CR-18-18391")</f>
        <v>27-CR-18-18391</v>
      </c>
      <c r="D827" s="3" t="s">
        <v>586</v>
      </c>
      <c r="E827" s="8" t="str">
        <f aca="false">HYPERLINK("https://mncourtfraud.com/file/MCRO_27-CR-18-18391_Order-Evaluation for Competency to Proceed (Rule 20.01)_2021-04-29_20240430092738.pdf","MCRO_27-CR-18-18391_Order-Evaluation for Competency to Proceed (Rule 20.01)_2021-04-29_20240430092738.pdf")</f>
        <v>MCRO_27-CR-18-18391_Order-Evaluation for Competency to Proceed (Rule 20.01)_2021-04-29_20240430092738.pdf</v>
      </c>
      <c r="F827" s="9" t="n">
        <v>44315</v>
      </c>
      <c r="G827" s="1" t="s">
        <v>682</v>
      </c>
      <c r="H827" s="3" t="s">
        <v>683</v>
      </c>
      <c r="I827" s="3" t="s">
        <v>684</v>
      </c>
    </row>
    <row r="828" customFormat="false" ht="18.7" hidden="false" customHeight="true" outlineLevel="0" collapsed="false">
      <c r="A828" s="1" t="n">
        <v>827</v>
      </c>
      <c r="B828" s="7" t="str">
        <f aca="false">HYPERLINK("https://mncourtfraud.com/file/AIO-15.zip","AIO-15.zip")</f>
        <v>AIO-15.zip</v>
      </c>
      <c r="C828" s="8" t="str">
        <f aca="false">HYPERLINK("https://mncourtfraud.com/file/27-CR-19-17539.pdf","27-CR-19-17539")</f>
        <v>27-CR-19-17539</v>
      </c>
      <c r="D828" s="3" t="s">
        <v>586</v>
      </c>
      <c r="E828" s="8" t="str">
        <f aca="false">HYPERLINK("https://mncourtfraud.com/file/MCRO_27-CR-19-17539_Order-Evaluation for Competency to Proceed (Rule 20.01)_2021-04-29_20240430091948.pdf","MCRO_27-CR-19-17539_Order-Evaluation for Competency to Proceed (Rule 20.01)_2021-04-29_20240430091948.pdf")</f>
        <v>MCRO_27-CR-19-17539_Order-Evaluation for Competency to Proceed (Rule 20.01)_2021-04-29_20240430091948.pdf</v>
      </c>
      <c r="F828" s="9" t="n">
        <v>44315</v>
      </c>
      <c r="G828" s="1" t="s">
        <v>682</v>
      </c>
      <c r="H828" s="3" t="s">
        <v>683</v>
      </c>
      <c r="I828" s="3" t="s">
        <v>685</v>
      </c>
    </row>
    <row r="829" customFormat="false" ht="18.7" hidden="false" customHeight="true" outlineLevel="0" collapsed="false">
      <c r="A829" s="1" t="n">
        <v>828</v>
      </c>
      <c r="B829" s="7" t="str">
        <f aca="false">HYPERLINK("https://mncourtfraud.com/file/AIO-15.zip","AIO-15.zip")</f>
        <v>AIO-15.zip</v>
      </c>
      <c r="C829" s="8" t="str">
        <f aca="false">HYPERLINK("https://mncourtfraud.com/file/27-CR-19-1916.pdf","27-CR-19-1916")</f>
        <v>27-CR-19-1916</v>
      </c>
      <c r="D829" s="3" t="s">
        <v>586</v>
      </c>
      <c r="E829" s="8" t="str">
        <f aca="false">HYPERLINK("https://mncourtfraud.com/file/MCRO_27-CR-19-1916_Order-Evaluation for Competency to Proceed (Rule 20.01)_2021-04-29_20240430091229.pdf","MCRO_27-CR-19-1916_Order-Evaluation for Competency to Proceed (Rule 20.01)_2021-04-29_20240430091229.pdf")</f>
        <v>MCRO_27-CR-19-1916_Order-Evaluation for Competency to Proceed (Rule 20.01)_2021-04-29_20240430091229.pdf</v>
      </c>
      <c r="F829" s="9" t="n">
        <v>44315</v>
      </c>
      <c r="G829" s="1" t="s">
        <v>682</v>
      </c>
      <c r="H829" s="3" t="s">
        <v>683</v>
      </c>
      <c r="I829" s="3" t="s">
        <v>686</v>
      </c>
    </row>
    <row r="830" customFormat="false" ht="18.7" hidden="false" customHeight="true" outlineLevel="0" collapsed="false">
      <c r="A830" s="1" t="n">
        <v>829</v>
      </c>
      <c r="B830" s="7" t="str">
        <f aca="false">HYPERLINK("https://mncourtfraud.com/file/AIO-15.zip","AIO-15.zip")</f>
        <v>AIO-15.zip</v>
      </c>
      <c r="C830" s="8" t="str">
        <f aca="false">HYPERLINK("https://mncourtfraud.com/file/27-CR-19-3539.pdf","27-CR-19-3539")</f>
        <v>27-CR-19-3539</v>
      </c>
      <c r="D830" s="3" t="s">
        <v>586</v>
      </c>
      <c r="E830" s="8" t="str">
        <f aca="false">HYPERLINK("https://mncourtfraud.com/file/MCRO_27-CR-19-3539_Order-Evaluation for Competency to Proceed (Rule 20.01)_2021-04-29_20240430091341.pdf","MCRO_27-CR-19-3539_Order-Evaluation for Competency to Proceed (Rule 20.01)_2021-04-29_20240430091341.pdf")</f>
        <v>MCRO_27-CR-19-3539_Order-Evaluation for Competency to Proceed (Rule 20.01)_2021-04-29_20240430091341.pdf</v>
      </c>
      <c r="F830" s="9" t="n">
        <v>44315</v>
      </c>
      <c r="G830" s="1" t="s">
        <v>682</v>
      </c>
      <c r="H830" s="3" t="s">
        <v>683</v>
      </c>
      <c r="I830" s="3" t="s">
        <v>687</v>
      </c>
    </row>
    <row r="831" customFormat="false" ht="18.7" hidden="false" customHeight="true" outlineLevel="0" collapsed="false">
      <c r="A831" s="1" t="n">
        <v>830</v>
      </c>
      <c r="F831" s="9"/>
    </row>
    <row r="832" customFormat="false" ht="18.7" hidden="false" customHeight="true" outlineLevel="0" collapsed="false">
      <c r="A832" s="1" t="n">
        <v>831</v>
      </c>
      <c r="B832" s="7" t="str">
        <f aca="false">HYPERLINK("https://mncourtfraud.com/file/AIO-16.zip","AIO-16.zip")</f>
        <v>AIO-16.zip</v>
      </c>
      <c r="C832" s="8" t="str">
        <f aca="false">HYPERLINK("https://mncourtfraud.com/file/27-CR-18-18391.pdf","27-CR-18-18391")</f>
        <v>27-CR-18-18391</v>
      </c>
      <c r="D832" s="3" t="s">
        <v>586</v>
      </c>
      <c r="E832" s="8" t="str">
        <f aca="false">HYPERLINK("https://mncourtfraud.com/file/MCRO_27-CR-18-18391_Notice of Hearing_2021-07-14_20240430092737.pdf","MCRO_27-CR-18-18391_Notice of Hearing_2021-07-14_20240430092737.pdf")</f>
        <v>MCRO_27-CR-18-18391_Notice of Hearing_2021-07-14_20240430092737.pdf</v>
      </c>
      <c r="F832" s="9" t="n">
        <v>44391</v>
      </c>
      <c r="G832" s="1" t="s">
        <v>688</v>
      </c>
      <c r="H832" s="3" t="s">
        <v>689</v>
      </c>
      <c r="I832" s="3" t="s">
        <v>690</v>
      </c>
    </row>
    <row r="833" customFormat="false" ht="18.7" hidden="false" customHeight="true" outlineLevel="0" collapsed="false">
      <c r="A833" s="1" t="n">
        <v>832</v>
      </c>
      <c r="B833" s="7" t="str">
        <f aca="false">HYPERLINK("https://mncourtfraud.com/file/AIO-16.zip","AIO-16.zip")</f>
        <v>AIO-16.zip</v>
      </c>
      <c r="C833" s="8" t="str">
        <f aca="false">HYPERLINK("https://mncourtfraud.com/file/27-CR-19-17539.pdf","27-CR-19-17539")</f>
        <v>27-CR-19-17539</v>
      </c>
      <c r="D833" s="3" t="s">
        <v>586</v>
      </c>
      <c r="E833" s="8" t="str">
        <f aca="false">HYPERLINK("https://mncourtfraud.com/file/MCRO_27-CR-19-17539_Notice of Hearing_2021-07-14_20240430091946.pdf","MCRO_27-CR-19-17539_Notice of Hearing_2021-07-14_20240430091946.pdf")</f>
        <v>MCRO_27-CR-19-17539_Notice of Hearing_2021-07-14_20240430091946.pdf</v>
      </c>
      <c r="F833" s="9" t="n">
        <v>44391</v>
      </c>
      <c r="G833" s="1" t="s">
        <v>688</v>
      </c>
      <c r="H833" s="3" t="s">
        <v>689</v>
      </c>
      <c r="I833" s="3" t="s">
        <v>691</v>
      </c>
    </row>
    <row r="834" customFormat="false" ht="18.7" hidden="false" customHeight="true" outlineLevel="0" collapsed="false">
      <c r="A834" s="1" t="n">
        <v>833</v>
      </c>
      <c r="B834" s="7" t="str">
        <f aca="false">HYPERLINK("https://mncourtfraud.com/file/AIO-16.zip","AIO-16.zip")</f>
        <v>AIO-16.zip</v>
      </c>
      <c r="C834" s="8" t="str">
        <f aca="false">HYPERLINK("https://mncourtfraud.com/file/27-CR-19-1916.pdf","27-CR-19-1916")</f>
        <v>27-CR-19-1916</v>
      </c>
      <c r="D834" s="3" t="s">
        <v>586</v>
      </c>
      <c r="E834" s="8" t="str">
        <f aca="false">HYPERLINK("https://mncourtfraud.com/file/MCRO_27-CR-19-1916_Notice of Hearing_2021-07-14_20240430091228.pdf","MCRO_27-CR-19-1916_Notice of Hearing_2021-07-14_20240430091228.pdf")</f>
        <v>MCRO_27-CR-19-1916_Notice of Hearing_2021-07-14_20240430091228.pdf</v>
      </c>
      <c r="F834" s="9" t="n">
        <v>44391</v>
      </c>
      <c r="G834" s="1" t="s">
        <v>688</v>
      </c>
      <c r="H834" s="3" t="s">
        <v>689</v>
      </c>
      <c r="I834" s="3" t="s">
        <v>692</v>
      </c>
    </row>
    <row r="835" customFormat="false" ht="18.7" hidden="false" customHeight="true" outlineLevel="0" collapsed="false">
      <c r="A835" s="1" t="n">
        <v>834</v>
      </c>
      <c r="B835" s="7" t="str">
        <f aca="false">HYPERLINK("https://mncourtfraud.com/file/AIO-16.zip","AIO-16.zip")</f>
        <v>AIO-16.zip</v>
      </c>
      <c r="C835" s="8" t="str">
        <f aca="false">HYPERLINK("https://mncourtfraud.com/file/27-CR-19-3539.pdf","27-CR-19-3539")</f>
        <v>27-CR-19-3539</v>
      </c>
      <c r="D835" s="3" t="s">
        <v>586</v>
      </c>
      <c r="E835" s="8" t="str">
        <f aca="false">HYPERLINK("https://mncourtfraud.com/file/MCRO_27-CR-19-3539_Notice of Hearing_2021-07-14_20240430091339.pdf","MCRO_27-CR-19-3539_Notice of Hearing_2021-07-14_20240430091339.pdf")</f>
        <v>MCRO_27-CR-19-3539_Notice of Hearing_2021-07-14_20240430091339.pdf</v>
      </c>
      <c r="F835" s="9" t="n">
        <v>44391</v>
      </c>
      <c r="G835" s="1" t="s">
        <v>688</v>
      </c>
      <c r="H835" s="3" t="s">
        <v>689</v>
      </c>
      <c r="I835" s="3" t="s">
        <v>693</v>
      </c>
    </row>
    <row r="836" customFormat="false" ht="18.7" hidden="false" customHeight="true" outlineLevel="0" collapsed="false">
      <c r="A836" s="1" t="n">
        <v>835</v>
      </c>
      <c r="F836" s="9"/>
    </row>
    <row r="837" customFormat="false" ht="18.7" hidden="false" customHeight="true" outlineLevel="0" collapsed="false">
      <c r="A837" s="1" t="n">
        <v>836</v>
      </c>
      <c r="B837" s="7" t="str">
        <f aca="false">HYPERLINK("https://mncourtfraud.com/file/AIO-17.zip","AIO-17.zip")</f>
        <v>AIO-17.zip</v>
      </c>
      <c r="C837" s="8" t="str">
        <f aca="false">HYPERLINK("https://mncourtfraud.com/file/27-CR-18-18391.pdf","27-CR-18-18391")</f>
        <v>27-CR-18-18391</v>
      </c>
      <c r="D837" s="3" t="s">
        <v>586</v>
      </c>
      <c r="E837" s="8" t="str">
        <f aca="false">HYPERLINK("https://mncourtfraud.com/file/MCRO_27-CR-18-18391_Notice of Remote Hearing with Instructions_2022-01-10_20240430092736.pdf","MCRO_27-CR-18-18391_Notice of Remote Hearing with Instructions_2022-01-10_20240430092736.pdf")</f>
        <v>MCRO_27-CR-18-18391_Notice of Remote Hearing with Instructions_2022-01-10_20240430092736.pdf</v>
      </c>
      <c r="F837" s="9" t="n">
        <v>44571</v>
      </c>
      <c r="G837" s="1" t="s">
        <v>694</v>
      </c>
      <c r="H837" s="3" t="s">
        <v>695</v>
      </c>
      <c r="I837" s="3" t="s">
        <v>696</v>
      </c>
    </row>
    <row r="838" customFormat="false" ht="18.7" hidden="false" customHeight="true" outlineLevel="0" collapsed="false">
      <c r="A838" s="1" t="n">
        <v>837</v>
      </c>
      <c r="B838" s="7" t="str">
        <f aca="false">HYPERLINK("https://mncourtfraud.com/file/AIO-17.zip","AIO-17.zip")</f>
        <v>AIO-17.zip</v>
      </c>
      <c r="C838" s="8" t="str">
        <f aca="false">HYPERLINK("https://mncourtfraud.com/file/27-CR-19-17539.pdf","27-CR-19-17539")</f>
        <v>27-CR-19-17539</v>
      </c>
      <c r="D838" s="3" t="s">
        <v>586</v>
      </c>
      <c r="E838" s="8" t="str">
        <f aca="false">HYPERLINK("https://mncourtfraud.com/file/MCRO_27-CR-19-17539_Notice of Remote Hearing with Instructions_2022-01-10_20240430091945.pdf","MCRO_27-CR-19-17539_Notice of Remote Hearing with Instructions_2022-01-10_20240430091945.pdf")</f>
        <v>MCRO_27-CR-19-17539_Notice of Remote Hearing with Instructions_2022-01-10_20240430091945.pdf</v>
      </c>
      <c r="F838" s="9" t="n">
        <v>44571</v>
      </c>
      <c r="G838" s="1" t="s">
        <v>694</v>
      </c>
      <c r="H838" s="3" t="s">
        <v>695</v>
      </c>
      <c r="I838" s="3" t="s">
        <v>696</v>
      </c>
    </row>
    <row r="839" customFormat="false" ht="18.7" hidden="false" customHeight="true" outlineLevel="0" collapsed="false">
      <c r="A839" s="1" t="n">
        <v>838</v>
      </c>
      <c r="B839" s="7" t="str">
        <f aca="false">HYPERLINK("https://mncourtfraud.com/file/AIO-17.zip","AIO-17.zip")</f>
        <v>AIO-17.zip</v>
      </c>
      <c r="C839" s="8" t="str">
        <f aca="false">HYPERLINK("https://mncourtfraud.com/file/27-CR-19-1916.pdf","27-CR-19-1916")</f>
        <v>27-CR-19-1916</v>
      </c>
      <c r="D839" s="3" t="s">
        <v>586</v>
      </c>
      <c r="E839" s="8" t="str">
        <f aca="false">HYPERLINK("https://mncourtfraud.com/file/MCRO_27-CR-19-1916_Notice of Remote Hearing with Instructions_2022-01-10_20240430091227.pdf","MCRO_27-CR-19-1916_Notice of Remote Hearing with Instructions_2022-01-10_20240430091227.pdf")</f>
        <v>MCRO_27-CR-19-1916_Notice of Remote Hearing with Instructions_2022-01-10_20240430091227.pdf</v>
      </c>
      <c r="F839" s="9" t="n">
        <v>44571</v>
      </c>
      <c r="G839" s="1" t="s">
        <v>694</v>
      </c>
      <c r="H839" s="3" t="s">
        <v>695</v>
      </c>
      <c r="I839" s="3" t="s">
        <v>696</v>
      </c>
    </row>
    <row r="840" customFormat="false" ht="18.7" hidden="false" customHeight="true" outlineLevel="0" collapsed="false">
      <c r="A840" s="1" t="n">
        <v>839</v>
      </c>
      <c r="B840" s="7" t="str">
        <f aca="false">HYPERLINK("https://mncourtfraud.com/file/AIO-17.zip","AIO-17.zip")</f>
        <v>AIO-17.zip</v>
      </c>
      <c r="C840" s="8" t="str">
        <f aca="false">HYPERLINK("https://mncourtfraud.com/file/27-CR-19-3539.pdf","27-CR-19-3539")</f>
        <v>27-CR-19-3539</v>
      </c>
      <c r="D840" s="3" t="s">
        <v>586</v>
      </c>
      <c r="E840" s="8" t="str">
        <f aca="false">HYPERLINK("https://mncourtfraud.com/file/MCRO_27-CR-19-3539_Notice of Remote Hearing with Instructions_2022-01-10_20240430091338.pdf","MCRO_27-CR-19-3539_Notice of Remote Hearing with Instructions_2022-01-10_20240430091338.pdf")</f>
        <v>MCRO_27-CR-19-3539_Notice of Remote Hearing with Instructions_2022-01-10_20240430091338.pdf</v>
      </c>
      <c r="F840" s="9" t="n">
        <v>44571</v>
      </c>
      <c r="G840" s="1" t="s">
        <v>694</v>
      </c>
      <c r="H840" s="3" t="s">
        <v>695</v>
      </c>
      <c r="I840" s="3" t="s">
        <v>696</v>
      </c>
    </row>
    <row r="841" customFormat="false" ht="18.7" hidden="false" customHeight="true" outlineLevel="0" collapsed="false">
      <c r="A841" s="1" t="n">
        <v>840</v>
      </c>
      <c r="B841" s="7" t="str">
        <f aca="false">HYPERLINK("https://mncourtfraud.com/file/AIO-17.zip","AIO-17.zip")</f>
        <v>AIO-17.zip</v>
      </c>
      <c r="C841" s="8" t="str">
        <f aca="false">HYPERLINK("https://mncourtfraud.com/file/27-CR-21-22058.pdf","27-CR-21-22058")</f>
        <v>27-CR-21-22058</v>
      </c>
      <c r="D841" s="3" t="s">
        <v>586</v>
      </c>
      <c r="E841" s="8" t="str">
        <f aca="false">HYPERLINK("https://mncourtfraud.com/file/MCRO_27-CR-21-22058_Notice of Remote Hearing with Instructions_2022-01-10_20240430083601.pdf","MCRO_27-CR-21-22058_Notice of Remote Hearing with Instructions_2022-01-10_20240430083601.pdf")</f>
        <v>MCRO_27-CR-21-22058_Notice of Remote Hearing with Instructions_2022-01-10_20240430083601.pdf</v>
      </c>
      <c r="F841" s="9" t="n">
        <v>44571</v>
      </c>
      <c r="G841" s="1" t="s">
        <v>694</v>
      </c>
      <c r="H841" s="3" t="s">
        <v>695</v>
      </c>
      <c r="I841" s="3" t="s">
        <v>696</v>
      </c>
    </row>
    <row r="842" customFormat="false" ht="18.7" hidden="false" customHeight="true" outlineLevel="0" collapsed="false">
      <c r="A842" s="1" t="n">
        <v>841</v>
      </c>
      <c r="F842" s="9"/>
    </row>
    <row r="843" customFormat="false" ht="18.7" hidden="false" customHeight="true" outlineLevel="0" collapsed="false">
      <c r="A843" s="1" t="n">
        <v>842</v>
      </c>
      <c r="B843" s="7" t="str">
        <f aca="false">HYPERLINK("https://mncourtfraud.com/file/AIO-18.zip","AIO-18.zip")</f>
        <v>AIO-18.zip</v>
      </c>
      <c r="C843" s="8" t="str">
        <f aca="false">HYPERLINK("https://mncourtfraud.com/file/27-CR-18-18391.pdf","27-CR-18-18391")</f>
        <v>27-CR-18-18391</v>
      </c>
      <c r="D843" s="3" t="s">
        <v>586</v>
      </c>
      <c r="E843" s="8" t="str">
        <f aca="false">HYPERLINK("https://mncourtfraud.com/file/MCRO_27-CR-18-18391_Notice of Remote Hearing with Instructions_2022-01-25_20240430092735.pdf","MCRO_27-CR-18-18391_Notice of Remote Hearing with Instructions_2022-01-25_20240430092735.pdf")</f>
        <v>MCRO_27-CR-18-18391_Notice of Remote Hearing with Instructions_2022-01-25_20240430092735.pdf</v>
      </c>
      <c r="F843" s="9" t="n">
        <v>44586</v>
      </c>
      <c r="G843" s="1" t="s">
        <v>697</v>
      </c>
      <c r="H843" s="3" t="s">
        <v>698</v>
      </c>
      <c r="I843" s="3" t="s">
        <v>699</v>
      </c>
    </row>
    <row r="844" customFormat="false" ht="18.7" hidden="false" customHeight="true" outlineLevel="0" collapsed="false">
      <c r="A844" s="1" t="n">
        <v>843</v>
      </c>
      <c r="B844" s="7" t="str">
        <f aca="false">HYPERLINK("https://mncourtfraud.com/file/AIO-18.zip","AIO-18.zip")</f>
        <v>AIO-18.zip</v>
      </c>
      <c r="C844" s="8" t="str">
        <f aca="false">HYPERLINK("https://mncourtfraud.com/file/27-CR-19-17539.pdf","27-CR-19-17539")</f>
        <v>27-CR-19-17539</v>
      </c>
      <c r="D844" s="3" t="s">
        <v>586</v>
      </c>
      <c r="E844" s="8" t="str">
        <f aca="false">HYPERLINK("https://mncourtfraud.com/file/MCRO_27-CR-19-17539_Notice of Remote Hearing with Instructions_2022-01-25_20240430091944.pdf","MCRO_27-CR-19-17539_Notice of Remote Hearing with Instructions_2022-01-25_20240430091944.pdf")</f>
        <v>MCRO_27-CR-19-17539_Notice of Remote Hearing with Instructions_2022-01-25_20240430091944.pdf</v>
      </c>
      <c r="F844" s="9" t="n">
        <v>44586</v>
      </c>
      <c r="G844" s="1" t="s">
        <v>697</v>
      </c>
      <c r="H844" s="3" t="s">
        <v>698</v>
      </c>
      <c r="I844" s="3" t="s">
        <v>699</v>
      </c>
    </row>
    <row r="845" customFormat="false" ht="18.7" hidden="false" customHeight="true" outlineLevel="0" collapsed="false">
      <c r="A845" s="1" t="n">
        <v>844</v>
      </c>
      <c r="B845" s="7" t="str">
        <f aca="false">HYPERLINK("https://mncourtfraud.com/file/AIO-18.zip","AIO-18.zip")</f>
        <v>AIO-18.zip</v>
      </c>
      <c r="C845" s="8" t="str">
        <f aca="false">HYPERLINK("https://mncourtfraud.com/file/27-CR-19-1916.pdf","27-CR-19-1916")</f>
        <v>27-CR-19-1916</v>
      </c>
      <c r="D845" s="3" t="s">
        <v>586</v>
      </c>
      <c r="E845" s="8" t="str">
        <f aca="false">HYPERLINK("https://mncourtfraud.com/file/MCRO_27-CR-19-1916_Notice of Remote Hearing with Instructions_2022-01-25_20240430091226.pdf","MCRO_27-CR-19-1916_Notice of Remote Hearing with Instructions_2022-01-25_20240430091226.pdf")</f>
        <v>MCRO_27-CR-19-1916_Notice of Remote Hearing with Instructions_2022-01-25_20240430091226.pdf</v>
      </c>
      <c r="F845" s="9" t="n">
        <v>44586</v>
      </c>
      <c r="G845" s="1" t="s">
        <v>697</v>
      </c>
      <c r="H845" s="3" t="s">
        <v>698</v>
      </c>
      <c r="I845" s="3" t="s">
        <v>699</v>
      </c>
    </row>
    <row r="846" customFormat="false" ht="18.7" hidden="false" customHeight="true" outlineLevel="0" collapsed="false">
      <c r="A846" s="1" t="n">
        <v>845</v>
      </c>
      <c r="B846" s="7" t="str">
        <f aca="false">HYPERLINK("https://mncourtfraud.com/file/AIO-18.zip","AIO-18.zip")</f>
        <v>AIO-18.zip</v>
      </c>
      <c r="C846" s="8" t="str">
        <f aca="false">HYPERLINK("https://mncourtfraud.com/file/27-CR-19-3539.pdf","27-CR-19-3539")</f>
        <v>27-CR-19-3539</v>
      </c>
      <c r="D846" s="3" t="s">
        <v>586</v>
      </c>
      <c r="E846" s="8" t="str">
        <f aca="false">HYPERLINK("https://mncourtfraud.com/file/MCRO_27-CR-19-3539_Notice of Remote Hearing with Instructions_2022-01-25_20240430091337.pdf","MCRO_27-CR-19-3539_Notice of Remote Hearing with Instructions_2022-01-25_20240430091337.pdf")</f>
        <v>MCRO_27-CR-19-3539_Notice of Remote Hearing with Instructions_2022-01-25_20240430091337.pdf</v>
      </c>
      <c r="F846" s="9" t="n">
        <v>44586</v>
      </c>
      <c r="G846" s="1" t="s">
        <v>697</v>
      </c>
      <c r="H846" s="3" t="s">
        <v>698</v>
      </c>
      <c r="I846" s="3" t="s">
        <v>699</v>
      </c>
    </row>
    <row r="847" customFormat="false" ht="18.7" hidden="false" customHeight="true" outlineLevel="0" collapsed="false">
      <c r="A847" s="1" t="n">
        <v>846</v>
      </c>
      <c r="B847" s="7" t="str">
        <f aca="false">HYPERLINK("https://mncourtfraud.com/file/AIO-18.zip","AIO-18.zip")</f>
        <v>AIO-18.zip</v>
      </c>
      <c r="C847" s="8" t="str">
        <f aca="false">HYPERLINK("https://mncourtfraud.com/file/27-CR-21-22058.pdf","27-CR-21-22058")</f>
        <v>27-CR-21-22058</v>
      </c>
      <c r="D847" s="3" t="s">
        <v>586</v>
      </c>
      <c r="E847" s="8" t="str">
        <f aca="false">HYPERLINK("https://mncourtfraud.com/file/MCRO_27-CR-21-22058_Notice of Remote Hearing with Instructions_2022-01-25_20240430083600.pdf","MCRO_27-CR-21-22058_Notice of Remote Hearing with Instructions_2022-01-25_20240430083600.pdf")</f>
        <v>MCRO_27-CR-21-22058_Notice of Remote Hearing with Instructions_2022-01-25_20240430083600.pdf</v>
      </c>
      <c r="F847" s="9" t="n">
        <v>44586</v>
      </c>
      <c r="G847" s="1" t="s">
        <v>697</v>
      </c>
      <c r="H847" s="3" t="s">
        <v>698</v>
      </c>
      <c r="I847" s="3" t="s">
        <v>699</v>
      </c>
    </row>
    <row r="848" customFormat="false" ht="18.7" hidden="false" customHeight="true" outlineLevel="0" collapsed="false">
      <c r="A848" s="1" t="n">
        <v>847</v>
      </c>
      <c r="F848" s="9"/>
    </row>
    <row r="849" customFormat="false" ht="18.7" hidden="false" customHeight="true" outlineLevel="0" collapsed="false">
      <c r="A849" s="1" t="n">
        <v>848</v>
      </c>
      <c r="B849" s="7" t="str">
        <f aca="false">HYPERLINK("https://mncourtfraud.com/file/AIO-19.zip","AIO-19.zip")</f>
        <v>AIO-19.zip</v>
      </c>
      <c r="C849" s="8" t="str">
        <f aca="false">HYPERLINK("https://mncourtfraud.com/file/27-CR-18-18391.pdf","27-CR-18-18391")</f>
        <v>27-CR-18-18391</v>
      </c>
      <c r="D849" s="3" t="s">
        <v>586</v>
      </c>
      <c r="E849" s="8" t="str">
        <f aca="false">HYPERLINK("https://mncourtfraud.com/file/MCRO_27-CR-18-18391_Correspondence for Judicial Approval_2022-07-14_20240430092732.pdf","MCRO_27-CR-18-18391_Correspondence for Judicial Approval_2022-07-14_20240430092732.pdf")</f>
        <v>MCRO_27-CR-18-18391_Correspondence for Judicial Approval_2022-07-14_20240430092732.pdf</v>
      </c>
      <c r="F849" s="9" t="n">
        <v>44756</v>
      </c>
      <c r="G849" s="1" t="s">
        <v>700</v>
      </c>
      <c r="H849" s="3" t="s">
        <v>701</v>
      </c>
      <c r="I849" s="3" t="s">
        <v>702</v>
      </c>
    </row>
    <row r="850" customFormat="false" ht="18.7" hidden="false" customHeight="true" outlineLevel="0" collapsed="false">
      <c r="A850" s="1" t="n">
        <v>849</v>
      </c>
      <c r="B850" s="7" t="str">
        <f aca="false">HYPERLINK("https://mncourtfraud.com/file/AIO-19.zip","AIO-19.zip")</f>
        <v>AIO-19.zip</v>
      </c>
      <c r="C850" s="8" t="str">
        <f aca="false">HYPERLINK("https://mncourtfraud.com/file/27-CR-19-17539.pdf","27-CR-19-17539")</f>
        <v>27-CR-19-17539</v>
      </c>
      <c r="D850" s="3" t="s">
        <v>586</v>
      </c>
      <c r="E850" s="8" t="str">
        <f aca="false">HYPERLINK("https://mncourtfraud.com/file/MCRO_27-CR-19-17539_Correspondence for Judicial Approval_2022-07-14_20240430091942.pdf","MCRO_27-CR-19-17539_Correspondence for Judicial Approval_2022-07-14_20240430091942.pdf")</f>
        <v>MCRO_27-CR-19-17539_Correspondence for Judicial Approval_2022-07-14_20240430091942.pdf</v>
      </c>
      <c r="F850" s="9" t="n">
        <v>44756</v>
      </c>
      <c r="G850" s="1" t="s">
        <v>700</v>
      </c>
      <c r="H850" s="3" t="s">
        <v>701</v>
      </c>
      <c r="I850" s="3" t="s">
        <v>703</v>
      </c>
    </row>
    <row r="851" customFormat="false" ht="18.7" hidden="false" customHeight="true" outlineLevel="0" collapsed="false">
      <c r="A851" s="1" t="n">
        <v>850</v>
      </c>
      <c r="B851" s="7" t="str">
        <f aca="false">HYPERLINK("https://mncourtfraud.com/file/AIO-19.zip","AIO-19.zip")</f>
        <v>AIO-19.zip</v>
      </c>
      <c r="C851" s="8" t="str">
        <f aca="false">HYPERLINK("https://mncourtfraud.com/file/27-CR-19-1916.pdf","27-CR-19-1916")</f>
        <v>27-CR-19-1916</v>
      </c>
      <c r="D851" s="3" t="s">
        <v>586</v>
      </c>
      <c r="E851" s="8" t="str">
        <f aca="false">HYPERLINK("https://mncourtfraud.com/file/MCRO_27-CR-19-1916_Correspondence for Judicial Approval_2022-07-14_20240430091224.pdf","MCRO_27-CR-19-1916_Correspondence for Judicial Approval_2022-07-14_20240430091224.pdf")</f>
        <v>MCRO_27-CR-19-1916_Correspondence for Judicial Approval_2022-07-14_20240430091224.pdf</v>
      </c>
      <c r="F851" s="9" t="n">
        <v>44756</v>
      </c>
      <c r="G851" s="1" t="s">
        <v>700</v>
      </c>
      <c r="H851" s="3" t="s">
        <v>701</v>
      </c>
      <c r="I851" s="3" t="s">
        <v>704</v>
      </c>
    </row>
    <row r="852" customFormat="false" ht="18.7" hidden="false" customHeight="true" outlineLevel="0" collapsed="false">
      <c r="A852" s="1" t="n">
        <v>851</v>
      </c>
      <c r="B852" s="7" t="str">
        <f aca="false">HYPERLINK("https://mncourtfraud.com/file/AIO-19.zip","AIO-19.zip")</f>
        <v>AIO-19.zip</v>
      </c>
      <c r="C852" s="8" t="str">
        <f aca="false">HYPERLINK("https://mncourtfraud.com/file/27-CR-19-3539.pdf","27-CR-19-3539")</f>
        <v>27-CR-19-3539</v>
      </c>
      <c r="D852" s="3" t="s">
        <v>586</v>
      </c>
      <c r="E852" s="8" t="str">
        <f aca="false">HYPERLINK("https://mncourtfraud.com/file/MCRO_27-CR-19-3539_Correspondence for Judicial Approval_2022-07-14_20240430091335.pdf","MCRO_27-CR-19-3539_Correspondence for Judicial Approval_2022-07-14_20240430091335.pdf")</f>
        <v>MCRO_27-CR-19-3539_Correspondence for Judicial Approval_2022-07-14_20240430091335.pdf</v>
      </c>
      <c r="F852" s="9" t="n">
        <v>44756</v>
      </c>
      <c r="G852" s="1" t="s">
        <v>700</v>
      </c>
      <c r="H852" s="3" t="s">
        <v>701</v>
      </c>
      <c r="I852" s="3" t="s">
        <v>705</v>
      </c>
    </row>
    <row r="853" customFormat="false" ht="18.7" hidden="false" customHeight="true" outlineLevel="0" collapsed="false">
      <c r="A853" s="1" t="n">
        <v>852</v>
      </c>
      <c r="F853" s="9"/>
    </row>
    <row r="854" customFormat="false" ht="18.7" hidden="false" customHeight="true" outlineLevel="0" collapsed="false">
      <c r="A854" s="1" t="n">
        <v>853</v>
      </c>
      <c r="B854" s="7" t="str">
        <f aca="false">HYPERLINK("https://mncourtfraud.com/file/AIO-20.zip","AIO-20.zip")</f>
        <v>AIO-20.zip</v>
      </c>
      <c r="C854" s="8" t="str">
        <f aca="false">HYPERLINK("https://mncourtfraud.com/file/27-CR-18-18391.pdf","27-CR-18-18391")</f>
        <v>27-CR-18-18391</v>
      </c>
      <c r="D854" s="3" t="s">
        <v>586</v>
      </c>
      <c r="E854" s="8" t="str">
        <f aca="false">HYPERLINK("https://mncourtfraud.com/file/MCRO_27-CR-18-18391_Proposed Order or Document_2022-07-14_20240430092731.pdf","MCRO_27-CR-18-18391_Proposed Order or Document_2022-07-14_20240430092731.pdf")</f>
        <v>MCRO_27-CR-18-18391_Proposed Order or Document_2022-07-14_20240430092731.pdf</v>
      </c>
      <c r="F854" s="9" t="n">
        <v>44756</v>
      </c>
      <c r="G854" s="1" t="s">
        <v>706</v>
      </c>
      <c r="H854" s="3" t="s">
        <v>707</v>
      </c>
      <c r="I854" s="3" t="s">
        <v>708</v>
      </c>
    </row>
    <row r="855" customFormat="false" ht="18.7" hidden="false" customHeight="true" outlineLevel="0" collapsed="false">
      <c r="A855" s="1" t="n">
        <v>854</v>
      </c>
      <c r="B855" s="7" t="str">
        <f aca="false">HYPERLINK("https://mncourtfraud.com/file/AIO-20.zip","AIO-20.zip")</f>
        <v>AIO-20.zip</v>
      </c>
      <c r="C855" s="8" t="str">
        <f aca="false">HYPERLINK("https://mncourtfraud.com/file/27-CR-19-17539.pdf","27-CR-19-17539")</f>
        <v>27-CR-19-17539</v>
      </c>
      <c r="D855" s="3" t="s">
        <v>586</v>
      </c>
      <c r="E855" s="8" t="str">
        <f aca="false">HYPERLINK("https://mncourtfraud.com/file/MCRO_27-CR-19-17539_Proposed Order or Document_2022-07-14_20240430091941.pdf","MCRO_27-CR-19-17539_Proposed Order or Document_2022-07-14_20240430091941.pdf")</f>
        <v>MCRO_27-CR-19-17539_Proposed Order or Document_2022-07-14_20240430091941.pdf</v>
      </c>
      <c r="F855" s="9" t="n">
        <v>44756</v>
      </c>
      <c r="G855" s="1" t="s">
        <v>706</v>
      </c>
      <c r="H855" s="3" t="s">
        <v>707</v>
      </c>
      <c r="I855" s="3" t="s">
        <v>709</v>
      </c>
    </row>
    <row r="856" customFormat="false" ht="18.7" hidden="false" customHeight="true" outlineLevel="0" collapsed="false">
      <c r="A856" s="1" t="n">
        <v>855</v>
      </c>
      <c r="B856" s="7" t="str">
        <f aca="false">HYPERLINK("https://mncourtfraud.com/file/AIO-20.zip","AIO-20.zip")</f>
        <v>AIO-20.zip</v>
      </c>
      <c r="C856" s="8" t="str">
        <f aca="false">HYPERLINK("https://mncourtfraud.com/file/27-CR-19-1916.pdf","27-CR-19-1916")</f>
        <v>27-CR-19-1916</v>
      </c>
      <c r="D856" s="3" t="s">
        <v>586</v>
      </c>
      <c r="E856" s="8" t="str">
        <f aca="false">HYPERLINK("https://mncourtfraud.com/file/MCRO_27-CR-19-1916_Proposed Order or Document_2022-07-14_20240430091223.pdf","MCRO_27-CR-19-1916_Proposed Order or Document_2022-07-14_20240430091223.pdf")</f>
        <v>MCRO_27-CR-19-1916_Proposed Order or Document_2022-07-14_20240430091223.pdf</v>
      </c>
      <c r="F856" s="9" t="n">
        <v>44756</v>
      </c>
      <c r="G856" s="1" t="s">
        <v>706</v>
      </c>
      <c r="H856" s="3" t="s">
        <v>707</v>
      </c>
      <c r="I856" s="3" t="s">
        <v>710</v>
      </c>
    </row>
    <row r="857" customFormat="false" ht="18.7" hidden="false" customHeight="true" outlineLevel="0" collapsed="false">
      <c r="A857" s="1" t="n">
        <v>856</v>
      </c>
      <c r="B857" s="7" t="str">
        <f aca="false">HYPERLINK("https://mncourtfraud.com/file/AIO-20.zip","AIO-20.zip")</f>
        <v>AIO-20.zip</v>
      </c>
      <c r="C857" s="8" t="str">
        <f aca="false">HYPERLINK("https://mncourtfraud.com/file/27-CR-19-3539.pdf","27-CR-19-3539")</f>
        <v>27-CR-19-3539</v>
      </c>
      <c r="D857" s="3" t="s">
        <v>586</v>
      </c>
      <c r="E857" s="8" t="str">
        <f aca="false">HYPERLINK("https://mncourtfraud.com/file/MCRO_27-CR-19-3539_Proposed Order or Document_2022-07-14_20240430091334.pdf","MCRO_27-CR-19-3539_Proposed Order or Document_2022-07-14_20240430091334.pdf")</f>
        <v>MCRO_27-CR-19-3539_Proposed Order or Document_2022-07-14_20240430091334.pdf</v>
      </c>
      <c r="F857" s="9" t="n">
        <v>44756</v>
      </c>
      <c r="G857" s="1" t="s">
        <v>706</v>
      </c>
      <c r="H857" s="3" t="s">
        <v>707</v>
      </c>
      <c r="I857" s="3" t="s">
        <v>711</v>
      </c>
    </row>
    <row r="858" customFormat="false" ht="18.7" hidden="false" customHeight="true" outlineLevel="0" collapsed="false">
      <c r="A858" s="1" t="n">
        <v>857</v>
      </c>
      <c r="F858" s="9"/>
    </row>
    <row r="859" customFormat="false" ht="18.7" hidden="false" customHeight="true" outlineLevel="0" collapsed="false">
      <c r="A859" s="1" t="n">
        <v>858</v>
      </c>
      <c r="B859" s="7" t="str">
        <f aca="false">HYPERLINK("https://mncourtfraud.com/file/AIO-21.zip","AIO-21.zip")</f>
        <v>AIO-21.zip</v>
      </c>
      <c r="C859" s="8" t="str">
        <f aca="false">HYPERLINK("https://mncourtfraud.com/file/27-CR-18-18391.pdf","27-CR-18-18391")</f>
        <v>27-CR-18-18391</v>
      </c>
      <c r="D859" s="3" t="s">
        <v>586</v>
      </c>
      <c r="E859" s="8" t="str">
        <f aca="false">HYPERLINK("https://mncourtfraud.com/file/MCRO_27-CR-18-18391_Notice of Hearing_2022-08-29_20240430092730.pdf","MCRO_27-CR-18-18391_Notice of Hearing_2022-08-29_20240430092730.pdf")</f>
        <v>MCRO_27-CR-18-18391_Notice of Hearing_2022-08-29_20240430092730.pdf</v>
      </c>
      <c r="F859" s="9" t="n">
        <v>44802</v>
      </c>
      <c r="G859" s="1" t="s">
        <v>712</v>
      </c>
      <c r="H859" s="3" t="s">
        <v>713</v>
      </c>
      <c r="I859" s="3" t="s">
        <v>714</v>
      </c>
    </row>
    <row r="860" customFormat="false" ht="18.7" hidden="false" customHeight="true" outlineLevel="0" collapsed="false">
      <c r="A860" s="1" t="n">
        <v>859</v>
      </c>
      <c r="B860" s="7" t="str">
        <f aca="false">HYPERLINK("https://mncourtfraud.com/file/AIO-21.zip","AIO-21.zip")</f>
        <v>AIO-21.zip</v>
      </c>
      <c r="C860" s="8" t="str">
        <f aca="false">HYPERLINK("https://mncourtfraud.com/file/27-CR-19-17539.pdf","27-CR-19-17539")</f>
        <v>27-CR-19-17539</v>
      </c>
      <c r="D860" s="3" t="s">
        <v>586</v>
      </c>
      <c r="E860" s="8" t="str">
        <f aca="false">HYPERLINK("https://mncourtfraud.com/file/MCRO_27-CR-19-17539_Notice of Hearing_2022-08-29_20240430091940.pdf","MCRO_27-CR-19-17539_Notice of Hearing_2022-08-29_20240430091940.pdf")</f>
        <v>MCRO_27-CR-19-17539_Notice of Hearing_2022-08-29_20240430091940.pdf</v>
      </c>
      <c r="F860" s="9" t="n">
        <v>44802</v>
      </c>
      <c r="G860" s="1" t="s">
        <v>712</v>
      </c>
      <c r="H860" s="3" t="s">
        <v>713</v>
      </c>
      <c r="I860" s="3" t="s">
        <v>714</v>
      </c>
    </row>
    <row r="861" customFormat="false" ht="18.7" hidden="false" customHeight="true" outlineLevel="0" collapsed="false">
      <c r="A861" s="1" t="n">
        <v>860</v>
      </c>
      <c r="B861" s="7" t="str">
        <f aca="false">HYPERLINK("https://mncourtfraud.com/file/AIO-21.zip","AIO-21.zip")</f>
        <v>AIO-21.zip</v>
      </c>
      <c r="C861" s="8" t="str">
        <f aca="false">HYPERLINK("https://mncourtfraud.com/file/27-CR-19-1916.pdf","27-CR-19-1916")</f>
        <v>27-CR-19-1916</v>
      </c>
      <c r="D861" s="3" t="s">
        <v>586</v>
      </c>
      <c r="E861" s="8" t="str">
        <f aca="false">HYPERLINK("https://mncourtfraud.com/file/MCRO_27-CR-19-1916_Notice of Hearing_2022-08-29_20240430091221.pdf","MCRO_27-CR-19-1916_Notice of Hearing_2022-08-29_20240430091221.pdf")</f>
        <v>MCRO_27-CR-19-1916_Notice of Hearing_2022-08-29_20240430091221.pdf</v>
      </c>
      <c r="F861" s="9" t="n">
        <v>44802</v>
      </c>
      <c r="G861" s="1" t="s">
        <v>712</v>
      </c>
      <c r="H861" s="3" t="s">
        <v>713</v>
      </c>
      <c r="I861" s="3" t="s">
        <v>714</v>
      </c>
    </row>
    <row r="862" customFormat="false" ht="18.7" hidden="false" customHeight="true" outlineLevel="0" collapsed="false">
      <c r="A862" s="1" t="n">
        <v>861</v>
      </c>
      <c r="B862" s="7" t="str">
        <f aca="false">HYPERLINK("https://mncourtfraud.com/file/AIO-21.zip","AIO-21.zip")</f>
        <v>AIO-21.zip</v>
      </c>
      <c r="C862" s="8" t="str">
        <f aca="false">HYPERLINK("https://mncourtfraud.com/file/27-CR-19-3539.pdf","27-CR-19-3539")</f>
        <v>27-CR-19-3539</v>
      </c>
      <c r="D862" s="3" t="s">
        <v>586</v>
      </c>
      <c r="E862" s="8" t="str">
        <f aca="false">HYPERLINK("https://mncourtfraud.com/file/MCRO_27-CR-19-3539_Notice of Hearing_2022-08-29_20240430091333.pdf","MCRO_27-CR-19-3539_Notice of Hearing_2022-08-29_20240430091333.pdf")</f>
        <v>MCRO_27-CR-19-3539_Notice of Hearing_2022-08-29_20240430091333.pdf</v>
      </c>
      <c r="F862" s="9" t="n">
        <v>44802</v>
      </c>
      <c r="G862" s="1" t="s">
        <v>712</v>
      </c>
      <c r="H862" s="3" t="s">
        <v>713</v>
      </c>
      <c r="I862" s="3" t="s">
        <v>714</v>
      </c>
    </row>
    <row r="863" customFormat="false" ht="18.7" hidden="false" customHeight="true" outlineLevel="0" collapsed="false">
      <c r="A863" s="1" t="n">
        <v>862</v>
      </c>
      <c r="B863" s="7" t="str">
        <f aca="false">HYPERLINK("https://mncourtfraud.com/file/AIO-21.zip","AIO-21.zip")</f>
        <v>AIO-21.zip</v>
      </c>
      <c r="C863" s="8" t="str">
        <f aca="false">HYPERLINK("https://mncourtfraud.com/file/27-CR-21-22058.pdf","27-CR-21-22058")</f>
        <v>27-CR-21-22058</v>
      </c>
      <c r="D863" s="3" t="s">
        <v>586</v>
      </c>
      <c r="E863" s="8" t="str">
        <f aca="false">HYPERLINK("https://mncourtfraud.com/file/MCRO_27-CR-21-22058_Notice of Hearing_2022-08-29_20240430083558.pdf","MCRO_27-CR-21-22058_Notice of Hearing_2022-08-29_20240430083558.pdf")</f>
        <v>MCRO_27-CR-21-22058_Notice of Hearing_2022-08-29_20240430083558.pdf</v>
      </c>
      <c r="F863" s="9" t="n">
        <v>44802</v>
      </c>
      <c r="G863" s="1" t="s">
        <v>712</v>
      </c>
      <c r="H863" s="3" t="s">
        <v>713</v>
      </c>
      <c r="I863" s="3" t="s">
        <v>714</v>
      </c>
    </row>
    <row r="864" customFormat="false" ht="18.7" hidden="false" customHeight="true" outlineLevel="0" collapsed="false">
      <c r="A864" s="1" t="n">
        <v>863</v>
      </c>
      <c r="F864" s="9"/>
    </row>
    <row r="865" customFormat="false" ht="18.7" hidden="false" customHeight="true" outlineLevel="0" collapsed="false">
      <c r="A865" s="1" t="n">
        <v>864</v>
      </c>
      <c r="B865" s="7" t="str">
        <f aca="false">HYPERLINK("https://mncourtfraud.com/file/AIO-22.zip","AIO-22.zip")</f>
        <v>AIO-22.zip</v>
      </c>
      <c r="C865" s="8" t="str">
        <f aca="false">HYPERLINK("https://mncourtfraud.com/file/27-CR-18-18391.pdf","27-CR-18-18391")</f>
        <v>27-CR-18-18391</v>
      </c>
      <c r="D865" s="3" t="s">
        <v>586</v>
      </c>
      <c r="E865" s="8" t="str">
        <f aca="false">HYPERLINK("https://mncourtfraud.com/file/MCRO_27-CR-18-18391_Notice of Hearing_2022-09-15_20240430092729.pdf","MCRO_27-CR-18-18391_Notice of Hearing_2022-09-15_20240430092729.pdf")</f>
        <v>MCRO_27-CR-18-18391_Notice of Hearing_2022-09-15_20240430092729.pdf</v>
      </c>
      <c r="F865" s="9" t="n">
        <v>44819</v>
      </c>
      <c r="G865" s="1" t="s">
        <v>715</v>
      </c>
      <c r="H865" s="3" t="s">
        <v>716</v>
      </c>
      <c r="I865" s="3" t="s">
        <v>717</v>
      </c>
    </row>
    <row r="866" customFormat="false" ht="18.7" hidden="false" customHeight="true" outlineLevel="0" collapsed="false">
      <c r="A866" s="1" t="n">
        <v>865</v>
      </c>
      <c r="B866" s="7" t="str">
        <f aca="false">HYPERLINK("https://mncourtfraud.com/file/AIO-22.zip","AIO-22.zip")</f>
        <v>AIO-22.zip</v>
      </c>
      <c r="C866" s="8" t="str">
        <f aca="false">HYPERLINK("https://mncourtfraud.com/file/27-CR-19-17539.pdf","27-CR-19-17539")</f>
        <v>27-CR-19-17539</v>
      </c>
      <c r="D866" s="3" t="s">
        <v>586</v>
      </c>
      <c r="E866" s="8" t="str">
        <f aca="false">HYPERLINK("https://mncourtfraud.com/file/MCRO_27-CR-19-17539_Notice of Hearing_2022-09-15_20240430091939.pdf","MCRO_27-CR-19-17539_Notice of Hearing_2022-09-15_20240430091939.pdf")</f>
        <v>MCRO_27-CR-19-17539_Notice of Hearing_2022-09-15_20240430091939.pdf</v>
      </c>
      <c r="F866" s="9" t="n">
        <v>44819</v>
      </c>
      <c r="G866" s="1" t="s">
        <v>715</v>
      </c>
      <c r="H866" s="3" t="s">
        <v>716</v>
      </c>
      <c r="I866" s="3" t="s">
        <v>717</v>
      </c>
    </row>
    <row r="867" customFormat="false" ht="18.7" hidden="false" customHeight="true" outlineLevel="0" collapsed="false">
      <c r="A867" s="1" t="n">
        <v>866</v>
      </c>
      <c r="B867" s="7" t="str">
        <f aca="false">HYPERLINK("https://mncourtfraud.com/file/AIO-22.zip","AIO-22.zip")</f>
        <v>AIO-22.zip</v>
      </c>
      <c r="C867" s="8" t="str">
        <f aca="false">HYPERLINK("https://mncourtfraud.com/file/27-CR-19-1916.pdf","27-CR-19-1916")</f>
        <v>27-CR-19-1916</v>
      </c>
      <c r="D867" s="3" t="s">
        <v>586</v>
      </c>
      <c r="E867" s="8" t="str">
        <f aca="false">HYPERLINK("https://mncourtfraud.com/file/MCRO_27-CR-19-1916_Notice of Hearing_2022-09-15_20240430091221.pdf","MCRO_27-CR-19-1916_Notice of Hearing_2022-09-15_20240430091221.pdf")</f>
        <v>MCRO_27-CR-19-1916_Notice of Hearing_2022-09-15_20240430091221.pdf</v>
      </c>
      <c r="F867" s="9" t="n">
        <v>44819</v>
      </c>
      <c r="G867" s="1" t="s">
        <v>715</v>
      </c>
      <c r="H867" s="3" t="s">
        <v>716</v>
      </c>
      <c r="I867" s="3" t="s">
        <v>717</v>
      </c>
    </row>
    <row r="868" customFormat="false" ht="18.7" hidden="false" customHeight="true" outlineLevel="0" collapsed="false">
      <c r="A868" s="1" t="n">
        <v>867</v>
      </c>
      <c r="B868" s="7" t="str">
        <f aca="false">HYPERLINK("https://mncourtfraud.com/file/AIO-22.zip","AIO-22.zip")</f>
        <v>AIO-22.zip</v>
      </c>
      <c r="C868" s="8" t="str">
        <f aca="false">HYPERLINK("https://mncourtfraud.com/file/27-CR-19-3539.pdf","27-CR-19-3539")</f>
        <v>27-CR-19-3539</v>
      </c>
      <c r="D868" s="3" t="s">
        <v>586</v>
      </c>
      <c r="E868" s="8" t="str">
        <f aca="false">HYPERLINK("https://mncourtfraud.com/file/MCRO_27-CR-19-3539_Notice of Hearing_2022-09-15_20240430091332.pdf","MCRO_27-CR-19-3539_Notice of Hearing_2022-09-15_20240430091332.pdf")</f>
        <v>MCRO_27-CR-19-3539_Notice of Hearing_2022-09-15_20240430091332.pdf</v>
      </c>
      <c r="F868" s="9" t="n">
        <v>44819</v>
      </c>
      <c r="G868" s="1" t="s">
        <v>715</v>
      </c>
      <c r="H868" s="3" t="s">
        <v>716</v>
      </c>
      <c r="I868" s="3" t="s">
        <v>717</v>
      </c>
    </row>
    <row r="869" customFormat="false" ht="18.7" hidden="false" customHeight="true" outlineLevel="0" collapsed="false">
      <c r="A869" s="1" t="n">
        <v>868</v>
      </c>
      <c r="B869" s="7" t="str">
        <f aca="false">HYPERLINK("https://mncourtfraud.com/file/AIO-22.zip","AIO-22.zip")</f>
        <v>AIO-22.zip</v>
      </c>
      <c r="C869" s="8" t="str">
        <f aca="false">HYPERLINK("https://mncourtfraud.com/file/27-CR-21-22058.pdf","27-CR-21-22058")</f>
        <v>27-CR-21-22058</v>
      </c>
      <c r="D869" s="3" t="s">
        <v>586</v>
      </c>
      <c r="E869" s="8" t="str">
        <f aca="false">HYPERLINK("https://mncourtfraud.com/file/MCRO_27-CR-21-22058_Notice of Hearing_2022-09-15_20240430083557.pdf","MCRO_27-CR-21-22058_Notice of Hearing_2022-09-15_20240430083557.pdf")</f>
        <v>MCRO_27-CR-21-22058_Notice of Hearing_2022-09-15_20240430083557.pdf</v>
      </c>
      <c r="F869" s="9" t="n">
        <v>44819</v>
      </c>
      <c r="G869" s="1" t="s">
        <v>715</v>
      </c>
      <c r="H869" s="3" t="s">
        <v>716</v>
      </c>
      <c r="I869" s="3" t="s">
        <v>717</v>
      </c>
    </row>
    <row r="870" customFormat="false" ht="18.7" hidden="false" customHeight="true" outlineLevel="0" collapsed="false">
      <c r="A870" s="1" t="n">
        <v>869</v>
      </c>
      <c r="F870" s="9"/>
    </row>
    <row r="871" customFormat="false" ht="18.7" hidden="false" customHeight="true" outlineLevel="0" collapsed="false">
      <c r="A871" s="1" t="n">
        <v>870</v>
      </c>
      <c r="B871" s="7" t="str">
        <f aca="false">HYPERLINK("https://mncourtfraud.com/file/AIO-23.zip","AIO-23.zip")</f>
        <v>AIO-23.zip</v>
      </c>
      <c r="C871" s="8" t="str">
        <f aca="false">HYPERLINK("https://mncourtfraud.com/file/27-CR-18-18391.pdf","27-CR-18-18391")</f>
        <v>27-CR-18-18391</v>
      </c>
      <c r="D871" s="3" t="s">
        <v>586</v>
      </c>
      <c r="E871" s="8" t="str">
        <f aca="false">HYPERLINK("https://mncourtfraud.com/file/MCRO_27-CR-18-18391_Notice of Hearing_2022-09-21_20240430092726.pdf","MCRO_27-CR-18-18391_Notice of Hearing_2022-09-21_20240430092726.pdf")</f>
        <v>MCRO_27-CR-18-18391_Notice of Hearing_2022-09-21_20240430092726.pdf</v>
      </c>
      <c r="F871" s="9" t="n">
        <v>44825</v>
      </c>
      <c r="G871" s="1" t="s">
        <v>718</v>
      </c>
      <c r="H871" s="3" t="s">
        <v>719</v>
      </c>
      <c r="I871" s="3" t="s">
        <v>720</v>
      </c>
    </row>
    <row r="872" customFormat="false" ht="18.7" hidden="false" customHeight="true" outlineLevel="0" collapsed="false">
      <c r="A872" s="1" t="n">
        <v>871</v>
      </c>
      <c r="B872" s="7" t="str">
        <f aca="false">HYPERLINK("https://mncourtfraud.com/file/AIO-23.zip","AIO-23.zip")</f>
        <v>AIO-23.zip</v>
      </c>
      <c r="C872" s="8" t="str">
        <f aca="false">HYPERLINK("https://mncourtfraud.com/file/27-CR-19-17539.pdf","27-CR-19-17539")</f>
        <v>27-CR-19-17539</v>
      </c>
      <c r="D872" s="3" t="s">
        <v>586</v>
      </c>
      <c r="E872" s="8" t="str">
        <f aca="false">HYPERLINK("https://mncourtfraud.com/file/MCRO_27-CR-19-17539_Notice of Hearing_2022-09-21_20240430091937.pdf","MCRO_27-CR-19-17539_Notice of Hearing_2022-09-21_20240430091937.pdf")</f>
        <v>MCRO_27-CR-19-17539_Notice of Hearing_2022-09-21_20240430091937.pdf</v>
      </c>
      <c r="F872" s="9" t="n">
        <v>44825</v>
      </c>
      <c r="G872" s="1" t="s">
        <v>718</v>
      </c>
      <c r="H872" s="3" t="s">
        <v>719</v>
      </c>
      <c r="I872" s="3" t="s">
        <v>720</v>
      </c>
    </row>
    <row r="873" customFormat="false" ht="18.7" hidden="false" customHeight="true" outlineLevel="0" collapsed="false">
      <c r="A873" s="1" t="n">
        <v>872</v>
      </c>
      <c r="B873" s="7" t="str">
        <f aca="false">HYPERLINK("https://mncourtfraud.com/file/AIO-23.zip","AIO-23.zip")</f>
        <v>AIO-23.zip</v>
      </c>
      <c r="C873" s="8" t="str">
        <f aca="false">HYPERLINK("https://mncourtfraud.com/file/27-CR-19-1916.pdf","27-CR-19-1916")</f>
        <v>27-CR-19-1916</v>
      </c>
      <c r="D873" s="3" t="s">
        <v>586</v>
      </c>
      <c r="E873" s="8" t="str">
        <f aca="false">HYPERLINK("https://mncourtfraud.com/file/MCRO_27-CR-19-1916_Notice of Hearing_2022-09-21_20240430091218.pdf","MCRO_27-CR-19-1916_Notice of Hearing_2022-09-21_20240430091218.pdf")</f>
        <v>MCRO_27-CR-19-1916_Notice of Hearing_2022-09-21_20240430091218.pdf</v>
      </c>
      <c r="F873" s="9" t="n">
        <v>44825</v>
      </c>
      <c r="G873" s="1" t="s">
        <v>718</v>
      </c>
      <c r="H873" s="3" t="s">
        <v>719</v>
      </c>
      <c r="I873" s="3" t="s">
        <v>720</v>
      </c>
    </row>
    <row r="874" customFormat="false" ht="18.7" hidden="false" customHeight="true" outlineLevel="0" collapsed="false">
      <c r="A874" s="1" t="n">
        <v>873</v>
      </c>
      <c r="B874" s="7" t="str">
        <f aca="false">HYPERLINK("https://mncourtfraud.com/file/AIO-23.zip","AIO-23.zip")</f>
        <v>AIO-23.zip</v>
      </c>
      <c r="C874" s="8" t="str">
        <f aca="false">HYPERLINK("https://mncourtfraud.com/file/27-CR-19-3539.pdf","27-CR-19-3539")</f>
        <v>27-CR-19-3539</v>
      </c>
      <c r="D874" s="3" t="s">
        <v>586</v>
      </c>
      <c r="E874" s="8" t="str">
        <f aca="false">HYPERLINK("https://mncourtfraud.com/file/MCRO_27-CR-19-3539_Notice of Hearing_2022-09-21_20240430091330.pdf","MCRO_27-CR-19-3539_Notice of Hearing_2022-09-21_20240430091330.pdf")</f>
        <v>MCRO_27-CR-19-3539_Notice of Hearing_2022-09-21_20240430091330.pdf</v>
      </c>
      <c r="F874" s="9" t="n">
        <v>44825</v>
      </c>
      <c r="G874" s="1" t="s">
        <v>718</v>
      </c>
      <c r="H874" s="3" t="s">
        <v>719</v>
      </c>
      <c r="I874" s="3" t="s">
        <v>720</v>
      </c>
    </row>
    <row r="875" customFormat="false" ht="18.7" hidden="false" customHeight="true" outlineLevel="0" collapsed="false">
      <c r="A875" s="1" t="n">
        <v>874</v>
      </c>
      <c r="B875" s="7" t="str">
        <f aca="false">HYPERLINK("https://mncourtfraud.com/file/AIO-23.zip","AIO-23.zip")</f>
        <v>AIO-23.zip</v>
      </c>
      <c r="C875" s="8" t="str">
        <f aca="false">HYPERLINK("https://mncourtfraud.com/file/27-CR-21-22058.pdf","27-CR-21-22058")</f>
        <v>27-CR-21-22058</v>
      </c>
      <c r="D875" s="3" t="s">
        <v>586</v>
      </c>
      <c r="E875" s="8" t="str">
        <f aca="false">HYPERLINK("https://mncourtfraud.com/file/MCRO_27-CR-21-22058_Notice of Hearing_2022-09-21_20240430083555.pdf","MCRO_27-CR-21-22058_Notice of Hearing_2022-09-21_20240430083555.pdf")</f>
        <v>MCRO_27-CR-21-22058_Notice of Hearing_2022-09-21_20240430083555.pdf</v>
      </c>
      <c r="F875" s="9" t="n">
        <v>44825</v>
      </c>
      <c r="G875" s="1" t="s">
        <v>718</v>
      </c>
      <c r="H875" s="3" t="s">
        <v>719</v>
      </c>
      <c r="I875" s="3" t="s">
        <v>720</v>
      </c>
    </row>
    <row r="876" customFormat="false" ht="18.7" hidden="false" customHeight="true" outlineLevel="0" collapsed="false">
      <c r="A876" s="1" t="n">
        <v>875</v>
      </c>
      <c r="F876" s="9"/>
    </row>
    <row r="877" customFormat="false" ht="18.7" hidden="false" customHeight="true" outlineLevel="0" collapsed="false">
      <c r="A877" s="1" t="n">
        <v>876</v>
      </c>
      <c r="B877" s="7" t="str">
        <f aca="false">HYPERLINK("https://mncourtfraud.com/file/AIO-24.zip","AIO-24.zip")</f>
        <v>AIO-24.zip</v>
      </c>
      <c r="C877" s="8" t="str">
        <f aca="false">HYPERLINK("https://mncourtfraud.com/file/27-CR-19-17539.pdf","27-CR-19-17539")</f>
        <v>27-CR-19-17539</v>
      </c>
      <c r="D877" s="3" t="s">
        <v>586</v>
      </c>
      <c r="E877" s="8" t="str">
        <f aca="false">HYPERLINK("https://mncourtfraud.com/file/MCRO_27-CR-19-17539_Returned Mail_2022-09-20_20240430091938.pdf","MCRO_27-CR-19-17539_Returned Mail_2022-09-20_20240430091938.pdf")</f>
        <v>MCRO_27-CR-19-17539_Returned Mail_2022-09-20_20240430091938.pdf</v>
      </c>
      <c r="F877" s="9" t="n">
        <v>44824</v>
      </c>
      <c r="G877" s="1" t="s">
        <v>721</v>
      </c>
      <c r="H877" s="3" t="s">
        <v>722</v>
      </c>
      <c r="I877" s="3" t="s">
        <v>723</v>
      </c>
    </row>
    <row r="878" customFormat="false" ht="18.7" hidden="false" customHeight="true" outlineLevel="0" collapsed="false">
      <c r="A878" s="1" t="n">
        <v>877</v>
      </c>
      <c r="B878" s="7" t="str">
        <f aca="false">HYPERLINK("https://mncourtfraud.com/file/AIO-24.zip","AIO-24.zip")</f>
        <v>AIO-24.zip</v>
      </c>
      <c r="C878" s="8" t="str">
        <f aca="false">HYPERLINK("https://mncourtfraud.com/file/27-CR-19-1916.pdf","27-CR-19-1916")</f>
        <v>27-CR-19-1916</v>
      </c>
      <c r="D878" s="3" t="s">
        <v>586</v>
      </c>
      <c r="E878" s="8" t="str">
        <f aca="false">HYPERLINK("https://mncourtfraud.com/file/MCRO_27-CR-19-1916_Returned Mail_2022-09-20_20240430091219.pdf","MCRO_27-CR-19-1916_Returned Mail_2022-09-20_20240430091219.pdf")</f>
        <v>MCRO_27-CR-19-1916_Returned Mail_2022-09-20_20240430091219.pdf</v>
      </c>
      <c r="F878" s="9" t="n">
        <v>44824</v>
      </c>
      <c r="G878" s="1" t="s">
        <v>721</v>
      </c>
      <c r="H878" s="3" t="s">
        <v>722</v>
      </c>
      <c r="I878" s="3" t="s">
        <v>723</v>
      </c>
    </row>
    <row r="879" customFormat="false" ht="18.7" hidden="false" customHeight="true" outlineLevel="0" collapsed="false">
      <c r="A879" s="1" t="n">
        <v>878</v>
      </c>
      <c r="B879" s="7" t="str">
        <f aca="false">HYPERLINK("https://mncourtfraud.com/file/AIO-24.zip","AIO-24.zip")</f>
        <v>AIO-24.zip</v>
      </c>
      <c r="C879" s="8" t="str">
        <f aca="false">HYPERLINK("https://mncourtfraud.com/file/27-CR-19-3539.pdf","27-CR-19-3539")</f>
        <v>27-CR-19-3539</v>
      </c>
      <c r="D879" s="3" t="s">
        <v>586</v>
      </c>
      <c r="E879" s="8" t="str">
        <f aca="false">HYPERLINK("https://mncourtfraud.com/file/MCRO_27-CR-19-3539_Returned Mail_2022-09-20_20240430091331.pdf","MCRO_27-CR-19-3539_Returned Mail_2022-09-20_20240430091331.pdf")</f>
        <v>MCRO_27-CR-19-3539_Returned Mail_2022-09-20_20240430091331.pdf</v>
      </c>
      <c r="F879" s="9" t="n">
        <v>44824</v>
      </c>
      <c r="G879" s="1" t="s">
        <v>721</v>
      </c>
      <c r="H879" s="3" t="s">
        <v>722</v>
      </c>
      <c r="I879" s="3" t="s">
        <v>723</v>
      </c>
    </row>
    <row r="880" customFormat="false" ht="18.7" hidden="false" customHeight="true" outlineLevel="0" collapsed="false">
      <c r="A880" s="1" t="n">
        <v>879</v>
      </c>
      <c r="B880" s="7" t="str">
        <f aca="false">HYPERLINK("https://mncourtfraud.com/file/AIO-24.zip","AIO-24.zip")</f>
        <v>AIO-24.zip</v>
      </c>
      <c r="C880" s="8" t="str">
        <f aca="false">HYPERLINK("https://mncourtfraud.com/file/27-CR-21-22058.pdf","27-CR-21-22058")</f>
        <v>27-CR-21-22058</v>
      </c>
      <c r="D880" s="3" t="s">
        <v>586</v>
      </c>
      <c r="E880" s="8" t="str">
        <f aca="false">HYPERLINK("https://mncourtfraud.com/file/MCRO_27-CR-21-22058_Returned Mail_2022-09-20_20240430083556.pdf","MCRO_27-CR-21-22058_Returned Mail_2022-09-20_20240430083556.pdf")</f>
        <v>MCRO_27-CR-21-22058_Returned Mail_2022-09-20_20240430083556.pdf</v>
      </c>
      <c r="F880" s="9" t="n">
        <v>44824</v>
      </c>
      <c r="G880" s="1" t="s">
        <v>721</v>
      </c>
      <c r="H880" s="3" t="s">
        <v>722</v>
      </c>
      <c r="I880" s="3" t="s">
        <v>723</v>
      </c>
    </row>
    <row r="881" customFormat="false" ht="18.7" hidden="false" customHeight="true" outlineLevel="0" collapsed="false">
      <c r="A881" s="1" t="n">
        <v>880</v>
      </c>
      <c r="F881" s="9"/>
    </row>
    <row r="882" customFormat="false" ht="18.7" hidden="false" customHeight="true" outlineLevel="0" collapsed="false">
      <c r="A882" s="1" t="n">
        <v>881</v>
      </c>
      <c r="B882" s="7" t="str">
        <f aca="false">HYPERLINK("https://mncourtfraud.com/file/AIO-25.zip","AIO-25.zip")</f>
        <v>AIO-25.zip</v>
      </c>
      <c r="C882" s="8" t="str">
        <f aca="false">HYPERLINK("https://mncourtfraud.com/file/27-CR-18-18391.pdf","27-CR-18-18391")</f>
        <v>27-CR-18-18391</v>
      </c>
      <c r="D882" s="3" t="s">
        <v>586</v>
      </c>
      <c r="E882" s="8" t="str">
        <f aca="false">HYPERLINK("https://mncourtfraud.com/file/MCRO_27-CR-18-18391_Order Regarding Access to Confidential or Sealed Record_2022-09-28_20240430092725.pdf","MCRO_27-CR-18-18391_Order Regarding Access to Confidential or Sealed Record_2022-09-28_20240430092725.pdf")</f>
        <v>MCRO_27-CR-18-18391_Order Regarding Access to Confidential or Sealed Record_2022-09-28_20240430092725.pdf</v>
      </c>
      <c r="F882" s="9" t="n">
        <v>44832</v>
      </c>
      <c r="G882" s="1" t="s">
        <v>724</v>
      </c>
      <c r="H882" s="3" t="s">
        <v>725</v>
      </c>
      <c r="I882" s="3" t="s">
        <v>726</v>
      </c>
    </row>
    <row r="883" customFormat="false" ht="18.7" hidden="false" customHeight="true" outlineLevel="0" collapsed="false">
      <c r="A883" s="1" t="n">
        <v>882</v>
      </c>
      <c r="B883" s="7" t="str">
        <f aca="false">HYPERLINK("https://mncourtfraud.com/file/AIO-25.zip","AIO-25.zip")</f>
        <v>AIO-25.zip</v>
      </c>
      <c r="C883" s="8" t="str">
        <f aca="false">HYPERLINK("https://mncourtfraud.com/file/27-CR-19-17539.pdf","27-CR-19-17539")</f>
        <v>27-CR-19-17539</v>
      </c>
      <c r="D883" s="3" t="s">
        <v>586</v>
      </c>
      <c r="E883" s="8" t="str">
        <f aca="false">HYPERLINK("https://mncourtfraud.com/file/MCRO_27-CR-19-17539_Order Regarding Access to Confidential or Sealed Record_2022-09-28_20240430091936.pdf","MCRO_27-CR-19-17539_Order Regarding Access to Confidential or Sealed Record_2022-09-28_20240430091936.pdf")</f>
        <v>MCRO_27-CR-19-17539_Order Regarding Access to Confidential or Sealed Record_2022-09-28_20240430091936.pdf</v>
      </c>
      <c r="F883" s="9" t="n">
        <v>44832</v>
      </c>
      <c r="G883" s="1" t="s">
        <v>724</v>
      </c>
      <c r="H883" s="3" t="s">
        <v>725</v>
      </c>
      <c r="I883" s="3" t="s">
        <v>727</v>
      </c>
    </row>
    <row r="884" customFormat="false" ht="18.7" hidden="false" customHeight="true" outlineLevel="0" collapsed="false">
      <c r="A884" s="1" t="n">
        <v>883</v>
      </c>
      <c r="B884" s="7" t="str">
        <f aca="false">HYPERLINK("https://mncourtfraud.com/file/AIO-25.zip","AIO-25.zip")</f>
        <v>AIO-25.zip</v>
      </c>
      <c r="C884" s="8" t="str">
        <f aca="false">HYPERLINK("https://mncourtfraud.com/file/27-CR-19-1916.pdf","27-CR-19-1916")</f>
        <v>27-CR-19-1916</v>
      </c>
      <c r="D884" s="3" t="s">
        <v>586</v>
      </c>
      <c r="E884" s="8" t="str">
        <f aca="false">HYPERLINK("https://mncourtfraud.com/file/MCRO_27-CR-19-1916_Order Regarding Access to Confidential or Sealed Record_2022-09-28_20240430091217.pdf","MCRO_27-CR-19-1916_Order Regarding Access to Confidential or Sealed Record_2022-09-28_20240430091217.pdf")</f>
        <v>MCRO_27-CR-19-1916_Order Regarding Access to Confidential or Sealed Record_2022-09-28_20240430091217.pdf</v>
      </c>
      <c r="F884" s="9" t="n">
        <v>44832</v>
      </c>
      <c r="G884" s="1" t="s">
        <v>724</v>
      </c>
      <c r="H884" s="3" t="s">
        <v>725</v>
      </c>
      <c r="I884" s="3" t="s">
        <v>728</v>
      </c>
    </row>
    <row r="885" customFormat="false" ht="18.7" hidden="false" customHeight="true" outlineLevel="0" collapsed="false">
      <c r="A885" s="1" t="n">
        <v>884</v>
      </c>
      <c r="B885" s="7" t="str">
        <f aca="false">HYPERLINK("https://mncourtfraud.com/file/AIO-25.zip","AIO-25.zip")</f>
        <v>AIO-25.zip</v>
      </c>
      <c r="C885" s="8" t="str">
        <f aca="false">HYPERLINK("https://mncourtfraud.com/file/27-CR-19-3539.pdf","27-CR-19-3539")</f>
        <v>27-CR-19-3539</v>
      </c>
      <c r="D885" s="3" t="s">
        <v>586</v>
      </c>
      <c r="E885" s="8" t="str">
        <f aca="false">HYPERLINK("https://mncourtfraud.com/file/MCRO_27-CR-19-3539_Order Regarding Access to Confidential or Sealed Record_2022-09-28_20240430091329.pdf","MCRO_27-CR-19-3539_Order Regarding Access to Confidential or Sealed Record_2022-09-28_20240430091329.pdf")</f>
        <v>MCRO_27-CR-19-3539_Order Regarding Access to Confidential or Sealed Record_2022-09-28_20240430091329.pdf</v>
      </c>
      <c r="F885" s="9" t="n">
        <v>44832</v>
      </c>
      <c r="G885" s="1" t="s">
        <v>724</v>
      </c>
      <c r="H885" s="3" t="s">
        <v>725</v>
      </c>
      <c r="I885" s="3" t="s">
        <v>729</v>
      </c>
    </row>
    <row r="886" customFormat="false" ht="18.7" hidden="false" customHeight="true" outlineLevel="0" collapsed="false">
      <c r="A886" s="1" t="n">
        <v>885</v>
      </c>
      <c r="B886" s="7" t="str">
        <f aca="false">HYPERLINK("https://mncourtfraud.com/file/AIO-25.zip","AIO-25.zip")</f>
        <v>AIO-25.zip</v>
      </c>
      <c r="C886" s="8" t="str">
        <f aca="false">HYPERLINK("https://mncourtfraud.com/file/27-CR-21-22058.pdf","27-CR-21-22058")</f>
        <v>27-CR-21-22058</v>
      </c>
      <c r="D886" s="3" t="s">
        <v>586</v>
      </c>
      <c r="E886" s="8" t="str">
        <f aca="false">HYPERLINK("https://mncourtfraud.com/file/MCRO_27-CR-21-22058_Order Regarding Access to Confidential or Sealed Record_2022-09-28_20240430083554.pdf","MCRO_27-CR-21-22058_Order Regarding Access to Confidential or Sealed Record_2022-09-28_20240430083554.pdf")</f>
        <v>MCRO_27-CR-21-22058_Order Regarding Access to Confidential or Sealed Record_2022-09-28_20240430083554.pdf</v>
      </c>
      <c r="F886" s="9" t="n">
        <v>44832</v>
      </c>
      <c r="G886" s="1" t="s">
        <v>724</v>
      </c>
      <c r="H886" s="3" t="s">
        <v>725</v>
      </c>
      <c r="I886" s="3" t="s">
        <v>730</v>
      </c>
    </row>
    <row r="887" customFormat="false" ht="18.7" hidden="false" customHeight="true" outlineLevel="0" collapsed="false">
      <c r="A887" s="1" t="n">
        <v>886</v>
      </c>
      <c r="F887" s="9"/>
    </row>
    <row r="888" customFormat="false" ht="18.7" hidden="false" customHeight="true" outlineLevel="0" collapsed="false">
      <c r="A888" s="1" t="n">
        <v>887</v>
      </c>
      <c r="B888" s="7" t="str">
        <f aca="false">HYPERLINK("https://mncourtfraud.com/file/AIO-26.zip","AIO-26.zip")</f>
        <v>AIO-26.zip</v>
      </c>
      <c r="C888" s="8" t="str">
        <f aca="false">HYPERLINK("https://mncourtfraud.com/file/27-CR-18-18391.pdf","27-CR-18-18391")</f>
        <v>27-CR-18-18391</v>
      </c>
      <c r="D888" s="3" t="s">
        <v>586</v>
      </c>
      <c r="E888" s="8" t="str">
        <f aca="false">HYPERLINK("https://mncourtfraud.com/file/MCRO_27-CR-18-18391_Notice of Remote Hearing with Instructions_2023-02-08_20240430092724.pdf","MCRO_27-CR-18-18391_Notice of Remote Hearing with Instructions_2023-02-08_20240430092724.pdf")</f>
        <v>MCRO_27-CR-18-18391_Notice of Remote Hearing with Instructions_2023-02-08_20240430092724.pdf</v>
      </c>
      <c r="F888" s="9" t="n">
        <v>44965</v>
      </c>
      <c r="G888" s="1" t="s">
        <v>731</v>
      </c>
      <c r="H888" s="3" t="s">
        <v>732</v>
      </c>
      <c r="I888" s="3" t="s">
        <v>733</v>
      </c>
    </row>
    <row r="889" customFormat="false" ht="18.7" hidden="false" customHeight="true" outlineLevel="0" collapsed="false">
      <c r="A889" s="1" t="n">
        <v>888</v>
      </c>
      <c r="B889" s="7" t="str">
        <f aca="false">HYPERLINK("https://mncourtfraud.com/file/AIO-26.zip","AIO-26.zip")</f>
        <v>AIO-26.zip</v>
      </c>
      <c r="C889" s="8" t="str">
        <f aca="false">HYPERLINK("https://mncourtfraud.com/file/27-CR-19-17539.pdf","27-CR-19-17539")</f>
        <v>27-CR-19-17539</v>
      </c>
      <c r="D889" s="3" t="s">
        <v>586</v>
      </c>
      <c r="E889" s="8" t="str">
        <f aca="false">HYPERLINK("https://mncourtfraud.com/file/MCRO_27-CR-19-17539_Notice of Remote Hearing with Instructions_2023-02-08_20240430091935.pdf","MCRO_27-CR-19-17539_Notice of Remote Hearing with Instructions_2023-02-08_20240430091935.pdf")</f>
        <v>MCRO_27-CR-19-17539_Notice of Remote Hearing with Instructions_2023-02-08_20240430091935.pdf</v>
      </c>
      <c r="F889" s="9" t="n">
        <v>44965</v>
      </c>
      <c r="G889" s="1" t="s">
        <v>731</v>
      </c>
      <c r="H889" s="3" t="s">
        <v>732</v>
      </c>
      <c r="I889" s="3" t="s">
        <v>733</v>
      </c>
    </row>
    <row r="890" customFormat="false" ht="18.7" hidden="false" customHeight="true" outlineLevel="0" collapsed="false">
      <c r="A890" s="1" t="n">
        <v>889</v>
      </c>
      <c r="B890" s="7" t="str">
        <f aca="false">HYPERLINK("https://mncourtfraud.com/file/AIO-26.zip","AIO-26.zip")</f>
        <v>AIO-26.zip</v>
      </c>
      <c r="C890" s="8" t="str">
        <f aca="false">HYPERLINK("https://mncourtfraud.com/file/27-CR-19-1916.pdf","27-CR-19-1916")</f>
        <v>27-CR-19-1916</v>
      </c>
      <c r="D890" s="3" t="s">
        <v>586</v>
      </c>
      <c r="E890" s="8" t="str">
        <f aca="false">HYPERLINK("https://mncourtfraud.com/file/MCRO_27-CR-19-1916_Notice of Remote Hearing with Instructions_2023-02-08_20240430091216.pdf","MCRO_27-CR-19-1916_Notice of Remote Hearing with Instructions_2023-02-08_20240430091216.pdf")</f>
        <v>MCRO_27-CR-19-1916_Notice of Remote Hearing with Instructions_2023-02-08_20240430091216.pdf</v>
      </c>
      <c r="F890" s="9" t="n">
        <v>44965</v>
      </c>
      <c r="G890" s="1" t="s">
        <v>731</v>
      </c>
      <c r="H890" s="3" t="s">
        <v>732</v>
      </c>
      <c r="I890" s="3" t="s">
        <v>733</v>
      </c>
    </row>
    <row r="891" customFormat="false" ht="18.7" hidden="false" customHeight="true" outlineLevel="0" collapsed="false">
      <c r="A891" s="1" t="n">
        <v>890</v>
      </c>
      <c r="B891" s="7" t="str">
        <f aca="false">HYPERLINK("https://mncourtfraud.com/file/AIO-26.zip","AIO-26.zip")</f>
        <v>AIO-26.zip</v>
      </c>
      <c r="C891" s="8" t="str">
        <f aca="false">HYPERLINK("https://mncourtfraud.com/file/27-CR-19-3539.pdf","27-CR-19-3539")</f>
        <v>27-CR-19-3539</v>
      </c>
      <c r="D891" s="3" t="s">
        <v>586</v>
      </c>
      <c r="E891" s="8" t="str">
        <f aca="false">HYPERLINK("https://mncourtfraud.com/file/MCRO_27-CR-19-3539_Notice of Remote Hearing with Instructions_2023-02-08_20240430091328.pdf","MCRO_27-CR-19-3539_Notice of Remote Hearing with Instructions_2023-02-08_20240430091328.pdf")</f>
        <v>MCRO_27-CR-19-3539_Notice of Remote Hearing with Instructions_2023-02-08_20240430091328.pdf</v>
      </c>
      <c r="F891" s="9" t="n">
        <v>44965</v>
      </c>
      <c r="G891" s="1" t="s">
        <v>731</v>
      </c>
      <c r="H891" s="3" t="s">
        <v>732</v>
      </c>
      <c r="I891" s="3" t="s">
        <v>733</v>
      </c>
    </row>
    <row r="892" customFormat="false" ht="18.7" hidden="false" customHeight="true" outlineLevel="0" collapsed="false">
      <c r="A892" s="1" t="n">
        <v>891</v>
      </c>
      <c r="B892" s="7" t="str">
        <f aca="false">HYPERLINK("https://mncourtfraud.com/file/AIO-26.zip","AIO-26.zip")</f>
        <v>AIO-26.zip</v>
      </c>
      <c r="C892" s="8" t="str">
        <f aca="false">HYPERLINK("https://mncourtfraud.com/file/27-CR-21-22058.pdf","27-CR-21-22058")</f>
        <v>27-CR-21-22058</v>
      </c>
      <c r="D892" s="3" t="s">
        <v>586</v>
      </c>
      <c r="E892" s="8" t="str">
        <f aca="false">HYPERLINK("https://mncourtfraud.com/file/MCRO_27-CR-21-22058_Notice of Remote Hearing with Instructions_2023-02-08_20240430083553.pdf","MCRO_27-CR-21-22058_Notice of Remote Hearing with Instructions_2023-02-08_20240430083553.pdf")</f>
        <v>MCRO_27-CR-21-22058_Notice of Remote Hearing with Instructions_2023-02-08_20240430083553.pdf</v>
      </c>
      <c r="F892" s="9" t="n">
        <v>44965</v>
      </c>
      <c r="G892" s="1" t="s">
        <v>731</v>
      </c>
      <c r="H892" s="3" t="s">
        <v>732</v>
      </c>
      <c r="I892" s="3" t="s">
        <v>733</v>
      </c>
    </row>
    <row r="893" customFormat="false" ht="18.7" hidden="false" customHeight="true" outlineLevel="0" collapsed="false">
      <c r="A893" s="1" t="n">
        <v>892</v>
      </c>
      <c r="F893" s="9"/>
    </row>
    <row r="894" customFormat="false" ht="18.7" hidden="false" customHeight="true" outlineLevel="0" collapsed="false">
      <c r="A894" s="1" t="n">
        <v>893</v>
      </c>
      <c r="B894" s="7" t="str">
        <f aca="false">HYPERLINK("https://mncourtfraud.com/file/AIO-27.zip","AIO-27.zip")</f>
        <v>AIO-27.zip</v>
      </c>
      <c r="C894" s="8" t="str">
        <f aca="false">HYPERLINK("https://mncourtfraud.com/file/27-CR-18-18391.pdf","27-CR-18-18391")</f>
        <v>27-CR-18-18391</v>
      </c>
      <c r="D894" s="3" t="s">
        <v>586</v>
      </c>
      <c r="E894" s="8" t="str">
        <f aca="false">HYPERLINK("https://mncourtfraud.com/file/MCRO_27-CR-18-18391_Order-Evaluation for Competency to Proceed (Rule 20.01)_2023-04-04_20240430092723.pdf","MCRO_27-CR-18-18391_Order-Evaluation for Competency to Proceed (Rule 20.01)_2023-04-04_20240430092723.pdf")</f>
        <v>MCRO_27-CR-18-18391_Order-Evaluation for Competency to Proceed (Rule 20.01)_2023-04-04_20240430092723.pdf</v>
      </c>
      <c r="F894" s="9" t="n">
        <v>45020</v>
      </c>
      <c r="G894" s="1" t="s">
        <v>734</v>
      </c>
      <c r="H894" s="3" t="s">
        <v>735</v>
      </c>
      <c r="I894" s="3" t="s">
        <v>736</v>
      </c>
      <c r="J894" s="3" t="s">
        <v>55</v>
      </c>
      <c r="K894" s="1" t="s">
        <v>737</v>
      </c>
      <c r="L894" s="3" t="s">
        <v>738</v>
      </c>
    </row>
    <row r="895" customFormat="false" ht="18.7" hidden="false" customHeight="true" outlineLevel="0" collapsed="false">
      <c r="A895" s="1" t="n">
        <v>894</v>
      </c>
      <c r="B895" s="7" t="str">
        <f aca="false">HYPERLINK("https://mncourtfraud.com/file/AIO-27.zip","AIO-27.zip")</f>
        <v>AIO-27.zip</v>
      </c>
      <c r="C895" s="8" t="str">
        <f aca="false">HYPERLINK("https://mncourtfraud.com/file/27-CR-19-17539.pdf","27-CR-19-17539")</f>
        <v>27-CR-19-17539</v>
      </c>
      <c r="D895" s="3" t="s">
        <v>586</v>
      </c>
      <c r="E895" s="8" t="str">
        <f aca="false">HYPERLINK("https://mncourtfraud.com/file/MCRO_27-CR-19-17539_Order-Evaluation for Competency to Proceed (Rule 20.01)_2023-04-04_20240430091934.pdf","MCRO_27-CR-19-17539_Order-Evaluation for Competency to Proceed (Rule 20.01)_2023-04-04_20240430091934.pdf")</f>
        <v>MCRO_27-CR-19-17539_Order-Evaluation for Competency to Proceed (Rule 20.01)_2023-04-04_20240430091934.pdf</v>
      </c>
      <c r="F895" s="9" t="n">
        <v>45020</v>
      </c>
      <c r="G895" s="1" t="s">
        <v>734</v>
      </c>
      <c r="H895" s="3" t="s">
        <v>735</v>
      </c>
      <c r="I895" s="3" t="s">
        <v>736</v>
      </c>
      <c r="J895" s="3" t="s">
        <v>55</v>
      </c>
      <c r="K895" s="1" t="s">
        <v>737</v>
      </c>
      <c r="L895" s="3" t="s">
        <v>738</v>
      </c>
    </row>
    <row r="896" customFormat="false" ht="18.7" hidden="false" customHeight="true" outlineLevel="0" collapsed="false">
      <c r="A896" s="1" t="n">
        <v>895</v>
      </c>
      <c r="B896" s="7" t="str">
        <f aca="false">HYPERLINK("https://mncourtfraud.com/file/AIO-27.zip","AIO-27.zip")</f>
        <v>AIO-27.zip</v>
      </c>
      <c r="C896" s="8" t="str">
        <f aca="false">HYPERLINK("https://mncourtfraud.com/file/27-CR-19-1916.pdf","27-CR-19-1916")</f>
        <v>27-CR-19-1916</v>
      </c>
      <c r="D896" s="3" t="s">
        <v>586</v>
      </c>
      <c r="E896" s="8" t="str">
        <f aca="false">HYPERLINK("https://mncourtfraud.com/file/MCRO_27-CR-19-1916_Order-Evaluation for Competency to Proceed (Rule 20.01)_2023-04-04_20240430091215.pdf","MCRO_27-CR-19-1916_Order-Evaluation for Competency to Proceed (Rule 20.01)_2023-04-04_20240430091215.pdf")</f>
        <v>MCRO_27-CR-19-1916_Order-Evaluation for Competency to Proceed (Rule 20.01)_2023-04-04_20240430091215.pdf</v>
      </c>
      <c r="F896" s="9" t="n">
        <v>45020</v>
      </c>
      <c r="G896" s="1" t="s">
        <v>734</v>
      </c>
      <c r="H896" s="3" t="s">
        <v>735</v>
      </c>
      <c r="I896" s="3" t="s">
        <v>736</v>
      </c>
      <c r="J896" s="3" t="s">
        <v>55</v>
      </c>
      <c r="K896" s="1" t="s">
        <v>737</v>
      </c>
      <c r="L896" s="3" t="s">
        <v>738</v>
      </c>
    </row>
    <row r="897" customFormat="false" ht="18.7" hidden="false" customHeight="true" outlineLevel="0" collapsed="false">
      <c r="A897" s="1" t="n">
        <v>896</v>
      </c>
      <c r="B897" s="7" t="str">
        <f aca="false">HYPERLINK("https://mncourtfraud.com/file/AIO-27.zip","AIO-27.zip")</f>
        <v>AIO-27.zip</v>
      </c>
      <c r="C897" s="8" t="str">
        <f aca="false">HYPERLINK("https://mncourtfraud.com/file/27-CR-19-3539.pdf","27-CR-19-3539")</f>
        <v>27-CR-19-3539</v>
      </c>
      <c r="D897" s="3" t="s">
        <v>586</v>
      </c>
      <c r="E897" s="8" t="str">
        <f aca="false">HYPERLINK("https://mncourtfraud.com/file/MCRO_27-CR-19-3539_Order-Evaluation for Competency to Proceed (Rule 20.01)_2023-04-04_20240430091327.pdf","MCRO_27-CR-19-3539_Order-Evaluation for Competency to Proceed (Rule 20.01)_2023-04-04_20240430091327.pdf")</f>
        <v>MCRO_27-CR-19-3539_Order-Evaluation for Competency to Proceed (Rule 20.01)_2023-04-04_20240430091327.pdf</v>
      </c>
      <c r="F897" s="9" t="n">
        <v>45020</v>
      </c>
      <c r="G897" s="1" t="s">
        <v>734</v>
      </c>
      <c r="H897" s="3" t="s">
        <v>735</v>
      </c>
      <c r="I897" s="3" t="s">
        <v>736</v>
      </c>
      <c r="J897" s="3" t="s">
        <v>55</v>
      </c>
      <c r="K897" s="1" t="s">
        <v>737</v>
      </c>
      <c r="L897" s="3" t="s">
        <v>738</v>
      </c>
    </row>
    <row r="898" customFormat="false" ht="18.7" hidden="false" customHeight="true" outlineLevel="0" collapsed="false">
      <c r="A898" s="1" t="n">
        <v>897</v>
      </c>
      <c r="B898" s="7" t="str">
        <f aca="false">HYPERLINK("https://mncourtfraud.com/file/AIO-27.zip","AIO-27.zip")</f>
        <v>AIO-27.zip</v>
      </c>
      <c r="C898" s="8" t="str">
        <f aca="false">HYPERLINK("https://mncourtfraud.com/file/27-CR-21-22058.pdf","27-CR-21-22058")</f>
        <v>27-CR-21-22058</v>
      </c>
      <c r="D898" s="3" t="s">
        <v>586</v>
      </c>
      <c r="E898" s="8" t="str">
        <f aca="false">HYPERLINK("https://mncourtfraud.com/file/MCRO_27-CR-21-22058_Order-Evaluation for Competency to Proceed (Rule 20.01)_2023-04-04_20240430083551.pdf","MCRO_27-CR-21-22058_Order-Evaluation for Competency to Proceed (Rule 20.01)_2023-04-04_20240430083551.pdf")</f>
        <v>MCRO_27-CR-21-22058_Order-Evaluation for Competency to Proceed (Rule 20.01)_2023-04-04_20240430083551.pdf</v>
      </c>
      <c r="F898" s="9" t="n">
        <v>45020</v>
      </c>
      <c r="G898" s="1" t="s">
        <v>734</v>
      </c>
      <c r="H898" s="3" t="s">
        <v>735</v>
      </c>
      <c r="I898" s="3" t="s">
        <v>736</v>
      </c>
      <c r="J898" s="3" t="s">
        <v>55</v>
      </c>
      <c r="K898" s="1" t="s">
        <v>737</v>
      </c>
      <c r="L898" s="3" t="s">
        <v>738</v>
      </c>
    </row>
    <row r="899" customFormat="false" ht="18.7" hidden="false" customHeight="true" outlineLevel="0" collapsed="false">
      <c r="A899" s="1" t="n">
        <v>898</v>
      </c>
      <c r="F899" s="9"/>
    </row>
    <row r="900" customFormat="false" ht="18.7" hidden="false" customHeight="true" outlineLevel="0" collapsed="false">
      <c r="A900" s="1" t="n">
        <v>899</v>
      </c>
      <c r="B900" s="7" t="str">
        <f aca="false">HYPERLINK("https://mncourtfraud.com/file/AIO-28.zip","AIO-28.zip")</f>
        <v>AIO-28.zip</v>
      </c>
      <c r="C900" s="8" t="str">
        <f aca="false">HYPERLINK("https://mncourtfraud.com/file/27-CR-18-18391.pdf","27-CR-18-18391")</f>
        <v>27-CR-18-18391</v>
      </c>
      <c r="D900" s="3" t="s">
        <v>586</v>
      </c>
      <c r="E900" s="8" t="str">
        <f aca="false">HYPERLINK("https://mncourtfraud.com/file/MCRO_27-CR-18-18391_Notice of Remote Hearing with Instructions_2023-04-05_20240430092722.pdf","MCRO_27-CR-18-18391_Notice of Remote Hearing with Instructions_2023-04-05_20240430092722.pdf")</f>
        <v>MCRO_27-CR-18-18391_Notice of Remote Hearing with Instructions_2023-04-05_20240430092722.pdf</v>
      </c>
      <c r="F900" s="9" t="n">
        <v>45021</v>
      </c>
      <c r="G900" s="1" t="s">
        <v>739</v>
      </c>
      <c r="H900" s="3" t="s">
        <v>740</v>
      </c>
      <c r="I900" s="3" t="s">
        <v>741</v>
      </c>
    </row>
    <row r="901" customFormat="false" ht="18.7" hidden="false" customHeight="true" outlineLevel="0" collapsed="false">
      <c r="A901" s="1" t="n">
        <v>900</v>
      </c>
      <c r="B901" s="7" t="str">
        <f aca="false">HYPERLINK("https://mncourtfraud.com/file/AIO-28.zip","AIO-28.zip")</f>
        <v>AIO-28.zip</v>
      </c>
      <c r="C901" s="8" t="str">
        <f aca="false">HYPERLINK("https://mncourtfraud.com/file/27-CR-19-17539.pdf","27-CR-19-17539")</f>
        <v>27-CR-19-17539</v>
      </c>
      <c r="D901" s="3" t="s">
        <v>586</v>
      </c>
      <c r="E901" s="8" t="str">
        <f aca="false">HYPERLINK("https://mncourtfraud.com/file/MCRO_27-CR-19-17539_Notice of Remote Hearing with Instructions_2023-04-05_20240430091934.pdf","MCRO_27-CR-19-17539_Notice of Remote Hearing with Instructions_2023-04-05_20240430091934.pdf")</f>
        <v>MCRO_27-CR-19-17539_Notice of Remote Hearing with Instructions_2023-04-05_20240430091934.pdf</v>
      </c>
      <c r="F901" s="9" t="n">
        <v>45021</v>
      </c>
      <c r="G901" s="1" t="s">
        <v>739</v>
      </c>
      <c r="H901" s="3" t="s">
        <v>740</v>
      </c>
      <c r="I901" s="3" t="s">
        <v>741</v>
      </c>
    </row>
    <row r="902" customFormat="false" ht="18.7" hidden="false" customHeight="true" outlineLevel="0" collapsed="false">
      <c r="A902" s="1" t="n">
        <v>901</v>
      </c>
      <c r="B902" s="7" t="str">
        <f aca="false">HYPERLINK("https://mncourtfraud.com/file/AIO-28.zip","AIO-28.zip")</f>
        <v>AIO-28.zip</v>
      </c>
      <c r="C902" s="8" t="str">
        <f aca="false">HYPERLINK("https://mncourtfraud.com/file/27-CR-19-1916.pdf","27-CR-19-1916")</f>
        <v>27-CR-19-1916</v>
      </c>
      <c r="D902" s="3" t="s">
        <v>586</v>
      </c>
      <c r="E902" s="8" t="str">
        <f aca="false">HYPERLINK("https://mncourtfraud.com/file/MCRO_27-CR-19-1916_Notice of Remote Hearing with Instructions_2023-04-05_20240430091214.pdf","MCRO_27-CR-19-1916_Notice of Remote Hearing with Instructions_2023-04-05_20240430091214.pdf")</f>
        <v>MCRO_27-CR-19-1916_Notice of Remote Hearing with Instructions_2023-04-05_20240430091214.pdf</v>
      </c>
      <c r="F902" s="9" t="n">
        <v>45021</v>
      </c>
      <c r="G902" s="1" t="s">
        <v>739</v>
      </c>
      <c r="H902" s="3" t="s">
        <v>740</v>
      </c>
      <c r="I902" s="3" t="s">
        <v>741</v>
      </c>
    </row>
    <row r="903" customFormat="false" ht="18.7" hidden="false" customHeight="true" outlineLevel="0" collapsed="false">
      <c r="A903" s="1" t="n">
        <v>902</v>
      </c>
      <c r="B903" s="7" t="str">
        <f aca="false">HYPERLINK("https://mncourtfraud.com/file/AIO-28.zip","AIO-28.zip")</f>
        <v>AIO-28.zip</v>
      </c>
      <c r="C903" s="8" t="str">
        <f aca="false">HYPERLINK("https://mncourtfraud.com/file/27-CR-19-3539.pdf","27-CR-19-3539")</f>
        <v>27-CR-19-3539</v>
      </c>
      <c r="D903" s="3" t="s">
        <v>586</v>
      </c>
      <c r="E903" s="8" t="str">
        <f aca="false">HYPERLINK("https://mncourtfraud.com/file/MCRO_27-CR-19-3539_Notice of Remote Hearing with Instructions_2023-04-05_20240430091326.pdf","MCRO_27-CR-19-3539_Notice of Remote Hearing with Instructions_2023-04-05_20240430091326.pdf")</f>
        <v>MCRO_27-CR-19-3539_Notice of Remote Hearing with Instructions_2023-04-05_20240430091326.pdf</v>
      </c>
      <c r="F903" s="9" t="n">
        <v>45021</v>
      </c>
      <c r="G903" s="1" t="s">
        <v>739</v>
      </c>
      <c r="H903" s="3" t="s">
        <v>740</v>
      </c>
      <c r="I903" s="3" t="s">
        <v>741</v>
      </c>
    </row>
    <row r="904" customFormat="false" ht="18.7" hidden="false" customHeight="true" outlineLevel="0" collapsed="false">
      <c r="A904" s="1" t="n">
        <v>903</v>
      </c>
      <c r="B904" s="7" t="str">
        <f aca="false">HYPERLINK("https://mncourtfraud.com/file/AIO-28.zip","AIO-28.zip")</f>
        <v>AIO-28.zip</v>
      </c>
      <c r="C904" s="8" t="str">
        <f aca="false">HYPERLINK("https://mncourtfraud.com/file/27-CR-21-22058.pdf","27-CR-21-22058")</f>
        <v>27-CR-21-22058</v>
      </c>
      <c r="D904" s="3" t="s">
        <v>586</v>
      </c>
      <c r="E904" s="8" t="str">
        <f aca="false">HYPERLINK("https://mncourtfraud.com/file/MCRO_27-CR-21-22058_Notice of Remote Hearing with Instructions_2023-04-05_20240430083550.pdf","MCRO_27-CR-21-22058_Notice of Remote Hearing with Instructions_2023-04-05_20240430083550.pdf")</f>
        <v>MCRO_27-CR-21-22058_Notice of Remote Hearing with Instructions_2023-04-05_20240430083550.pdf</v>
      </c>
      <c r="F904" s="9" t="n">
        <v>45021</v>
      </c>
      <c r="G904" s="1" t="s">
        <v>739</v>
      </c>
      <c r="H904" s="3" t="s">
        <v>740</v>
      </c>
      <c r="I904" s="3" t="s">
        <v>741</v>
      </c>
    </row>
    <row r="905" customFormat="false" ht="18.7" hidden="false" customHeight="true" outlineLevel="0" collapsed="false">
      <c r="A905" s="1" t="n">
        <v>904</v>
      </c>
      <c r="F905" s="9"/>
    </row>
    <row r="906" customFormat="false" ht="18.7" hidden="false" customHeight="true" outlineLevel="0" collapsed="false">
      <c r="A906" s="1" t="n">
        <v>905</v>
      </c>
      <c r="B906" s="7" t="str">
        <f aca="false">HYPERLINK("https://mncourtfraud.com/file/AIO-29.zip","AIO-29.zip")</f>
        <v>AIO-29.zip</v>
      </c>
      <c r="C906" s="8" t="str">
        <f aca="false">HYPERLINK("https://mncourtfraud.com/file/27-CR-18-18391.pdf","27-CR-18-18391")</f>
        <v>27-CR-18-18391</v>
      </c>
      <c r="D906" s="3" t="s">
        <v>586</v>
      </c>
      <c r="E906" s="8" t="str">
        <f aca="false">HYPERLINK("https://mncourtfraud.com/file/MCRO_27-CR-18-18391_Finding of Incompetency and Order_2023-06-06_20240430092721.pdf","MCRO_27-CR-18-18391_Finding of Incompetency and Order_2023-06-06_20240430092721.pdf")</f>
        <v>MCRO_27-CR-18-18391_Finding of Incompetency and Order_2023-06-06_20240430092721.pdf</v>
      </c>
      <c r="F906" s="9" t="n">
        <v>45083</v>
      </c>
      <c r="G906" s="1" t="s">
        <v>742</v>
      </c>
      <c r="H906" s="3" t="s">
        <v>743</v>
      </c>
      <c r="I906" s="3" t="s">
        <v>744</v>
      </c>
      <c r="J906" s="3" t="s">
        <v>61</v>
      </c>
      <c r="K906" s="1" t="s">
        <v>745</v>
      </c>
      <c r="L906" s="3" t="s">
        <v>746</v>
      </c>
      <c r="M906" s="3" t="s">
        <v>55</v>
      </c>
      <c r="N906" s="1" t="s">
        <v>747</v>
      </c>
      <c r="O906" s="3" t="s">
        <v>748</v>
      </c>
    </row>
    <row r="907" customFormat="false" ht="18.7" hidden="false" customHeight="true" outlineLevel="0" collapsed="false">
      <c r="A907" s="1" t="n">
        <v>906</v>
      </c>
      <c r="B907" s="7" t="str">
        <f aca="false">HYPERLINK("https://mncourtfraud.com/file/AIO-29.zip","AIO-29.zip")</f>
        <v>AIO-29.zip</v>
      </c>
      <c r="C907" s="8" t="str">
        <f aca="false">HYPERLINK("https://mncourtfraud.com/file/27-CR-19-17539.pdf","27-CR-19-17539")</f>
        <v>27-CR-19-17539</v>
      </c>
      <c r="D907" s="3" t="s">
        <v>586</v>
      </c>
      <c r="E907" s="8" t="str">
        <f aca="false">HYPERLINK("https://mncourtfraud.com/file/MCRO_27-CR-19-17539_Finding of Incompetency and Order_2023-06-06_20240430091932.pdf","MCRO_27-CR-19-17539_Finding of Incompetency and Order_2023-06-06_20240430091932.pdf")</f>
        <v>MCRO_27-CR-19-17539_Finding of Incompetency and Order_2023-06-06_20240430091932.pdf</v>
      </c>
      <c r="F907" s="9" t="n">
        <v>45083</v>
      </c>
      <c r="G907" s="1" t="s">
        <v>742</v>
      </c>
      <c r="H907" s="3" t="s">
        <v>743</v>
      </c>
      <c r="I907" s="3" t="s">
        <v>744</v>
      </c>
      <c r="J907" s="3" t="s">
        <v>61</v>
      </c>
      <c r="K907" s="1" t="s">
        <v>745</v>
      </c>
      <c r="L907" s="3" t="s">
        <v>746</v>
      </c>
      <c r="M907" s="3" t="s">
        <v>55</v>
      </c>
      <c r="N907" s="1" t="s">
        <v>747</v>
      </c>
      <c r="O907" s="3" t="s">
        <v>748</v>
      </c>
    </row>
    <row r="908" customFormat="false" ht="18.7" hidden="false" customHeight="true" outlineLevel="0" collapsed="false">
      <c r="A908" s="1" t="n">
        <v>907</v>
      </c>
      <c r="B908" s="7" t="str">
        <f aca="false">HYPERLINK("https://mncourtfraud.com/file/AIO-29.zip","AIO-29.zip")</f>
        <v>AIO-29.zip</v>
      </c>
      <c r="C908" s="8" t="str">
        <f aca="false">HYPERLINK("https://mncourtfraud.com/file/27-CR-19-1916.pdf","27-CR-19-1916")</f>
        <v>27-CR-19-1916</v>
      </c>
      <c r="D908" s="3" t="s">
        <v>586</v>
      </c>
      <c r="E908" s="8" t="str">
        <f aca="false">HYPERLINK("https://mncourtfraud.com/file/MCRO_27-CR-19-1916_Finding of Incompetency and Order_2023-06-06_20240430091213.pdf","MCRO_27-CR-19-1916_Finding of Incompetency and Order_2023-06-06_20240430091213.pdf")</f>
        <v>MCRO_27-CR-19-1916_Finding of Incompetency and Order_2023-06-06_20240430091213.pdf</v>
      </c>
      <c r="F908" s="9" t="n">
        <v>45083</v>
      </c>
      <c r="G908" s="1" t="s">
        <v>742</v>
      </c>
      <c r="H908" s="3" t="s">
        <v>743</v>
      </c>
      <c r="I908" s="3" t="s">
        <v>744</v>
      </c>
      <c r="J908" s="3" t="s">
        <v>61</v>
      </c>
      <c r="K908" s="1" t="s">
        <v>745</v>
      </c>
      <c r="L908" s="3" t="s">
        <v>746</v>
      </c>
      <c r="M908" s="3" t="s">
        <v>55</v>
      </c>
      <c r="N908" s="1" t="s">
        <v>747</v>
      </c>
      <c r="O908" s="3" t="s">
        <v>748</v>
      </c>
    </row>
    <row r="909" customFormat="false" ht="18.7" hidden="false" customHeight="true" outlineLevel="0" collapsed="false">
      <c r="A909" s="1" t="n">
        <v>908</v>
      </c>
      <c r="B909" s="7" t="str">
        <f aca="false">HYPERLINK("https://mncourtfraud.com/file/AIO-29.zip","AIO-29.zip")</f>
        <v>AIO-29.zip</v>
      </c>
      <c r="C909" s="8" t="str">
        <f aca="false">HYPERLINK("https://mncourtfraud.com/file/27-CR-19-3539.pdf","27-CR-19-3539")</f>
        <v>27-CR-19-3539</v>
      </c>
      <c r="D909" s="3" t="s">
        <v>586</v>
      </c>
      <c r="E909" s="8" t="str">
        <f aca="false">HYPERLINK("https://mncourtfraud.com/file/MCRO_27-CR-19-3539_Finding of Incompetency and Order_2023-06-06_20240430091325.pdf","MCRO_27-CR-19-3539_Finding of Incompetency and Order_2023-06-06_20240430091325.pdf")</f>
        <v>MCRO_27-CR-19-3539_Finding of Incompetency and Order_2023-06-06_20240430091325.pdf</v>
      </c>
      <c r="F909" s="9" t="n">
        <v>45083</v>
      </c>
      <c r="G909" s="1" t="s">
        <v>742</v>
      </c>
      <c r="H909" s="3" t="s">
        <v>743</v>
      </c>
      <c r="I909" s="3" t="s">
        <v>744</v>
      </c>
      <c r="J909" s="3" t="s">
        <v>61</v>
      </c>
      <c r="K909" s="1" t="s">
        <v>745</v>
      </c>
      <c r="L909" s="3" t="s">
        <v>746</v>
      </c>
      <c r="M909" s="3" t="s">
        <v>55</v>
      </c>
      <c r="N909" s="1" t="s">
        <v>747</v>
      </c>
      <c r="O909" s="3" t="s">
        <v>748</v>
      </c>
    </row>
    <row r="910" customFormat="false" ht="18.7" hidden="false" customHeight="true" outlineLevel="0" collapsed="false">
      <c r="A910" s="1" t="n">
        <v>909</v>
      </c>
      <c r="B910" s="7" t="str">
        <f aca="false">HYPERLINK("https://mncourtfraud.com/file/AIO-29.zip","AIO-29.zip")</f>
        <v>AIO-29.zip</v>
      </c>
      <c r="C910" s="8" t="str">
        <f aca="false">HYPERLINK("https://mncourtfraud.com/file/27-CR-21-22058.pdf","27-CR-21-22058")</f>
        <v>27-CR-21-22058</v>
      </c>
      <c r="D910" s="3" t="s">
        <v>586</v>
      </c>
      <c r="E910" s="8" t="str">
        <f aca="false">HYPERLINK("https://mncourtfraud.com/file/MCRO_27-CR-21-22058_Finding of Incompetency and Order_2023-06-06_20240430083549.pdf","MCRO_27-CR-21-22058_Finding of Incompetency and Order_2023-06-06_20240430083549.pdf")</f>
        <v>MCRO_27-CR-21-22058_Finding of Incompetency and Order_2023-06-06_20240430083549.pdf</v>
      </c>
      <c r="F910" s="9" t="n">
        <v>45083</v>
      </c>
      <c r="G910" s="1" t="s">
        <v>742</v>
      </c>
      <c r="H910" s="3" t="s">
        <v>743</v>
      </c>
      <c r="I910" s="3" t="s">
        <v>744</v>
      </c>
      <c r="J910" s="3" t="s">
        <v>61</v>
      </c>
      <c r="K910" s="1" t="s">
        <v>745</v>
      </c>
      <c r="L910" s="3" t="s">
        <v>746</v>
      </c>
      <c r="M910" s="3" t="s">
        <v>55</v>
      </c>
      <c r="N910" s="1" t="s">
        <v>747</v>
      </c>
      <c r="O910" s="3" t="s">
        <v>748</v>
      </c>
    </row>
    <row r="911" customFormat="false" ht="18.7" hidden="false" customHeight="true" outlineLevel="0" collapsed="false">
      <c r="A911" s="1" t="n">
        <v>910</v>
      </c>
      <c r="F911" s="9"/>
    </row>
    <row r="912" customFormat="false" ht="18.7" hidden="false" customHeight="true" outlineLevel="0" collapsed="false">
      <c r="A912" s="1" t="n">
        <v>911</v>
      </c>
      <c r="B912" s="7" t="str">
        <f aca="false">HYPERLINK("https://mncourtfraud.com/file/AIO-30.zip","AIO-30.zip")</f>
        <v>AIO-30.zip</v>
      </c>
      <c r="C912" s="8" t="str">
        <f aca="false">HYPERLINK("https://mncourtfraud.com/file/27-CR-18-18391.pdf","27-CR-18-18391")</f>
        <v>27-CR-18-18391</v>
      </c>
      <c r="D912" s="3" t="s">
        <v>586</v>
      </c>
      <c r="E912" s="8" t="str">
        <f aca="false">HYPERLINK("https://mncourtfraud.com/file/MCRO_27-CR-18-18391_Notice of Remote Hearing with Instructions_2023-06-12_20240430092719.pdf","MCRO_27-CR-18-18391_Notice of Remote Hearing with Instructions_2023-06-12_20240430092719.pdf")</f>
        <v>MCRO_27-CR-18-18391_Notice of Remote Hearing with Instructions_2023-06-12_20240430092719.pdf</v>
      </c>
      <c r="F912" s="9" t="n">
        <v>45089</v>
      </c>
      <c r="G912" s="1" t="s">
        <v>749</v>
      </c>
      <c r="H912" s="3" t="s">
        <v>750</v>
      </c>
      <c r="I912" s="3" t="s">
        <v>751</v>
      </c>
    </row>
    <row r="913" customFormat="false" ht="18.7" hidden="false" customHeight="true" outlineLevel="0" collapsed="false">
      <c r="A913" s="1" t="n">
        <v>912</v>
      </c>
      <c r="B913" s="7" t="str">
        <f aca="false">HYPERLINK("https://mncourtfraud.com/file/AIO-30.zip","AIO-30.zip")</f>
        <v>AIO-30.zip</v>
      </c>
      <c r="C913" s="8" t="str">
        <f aca="false">HYPERLINK("https://mncourtfraud.com/file/27-CR-19-17539.pdf","27-CR-19-17539")</f>
        <v>27-CR-19-17539</v>
      </c>
      <c r="D913" s="3" t="s">
        <v>586</v>
      </c>
      <c r="E913" s="8" t="str">
        <f aca="false">HYPERLINK("https://mncourtfraud.com/file/MCRO_27-CR-19-17539_Notice of Remote Hearing with Instructions_2023-06-12_20240430091931.pdf","MCRO_27-CR-19-17539_Notice of Remote Hearing with Instructions_2023-06-12_20240430091931.pdf")</f>
        <v>MCRO_27-CR-19-17539_Notice of Remote Hearing with Instructions_2023-06-12_20240430091931.pdf</v>
      </c>
      <c r="F913" s="9" t="n">
        <v>45089</v>
      </c>
      <c r="G913" s="1" t="s">
        <v>749</v>
      </c>
      <c r="H913" s="3" t="s">
        <v>750</v>
      </c>
      <c r="I913" s="3" t="s">
        <v>751</v>
      </c>
    </row>
    <row r="914" customFormat="false" ht="18.7" hidden="false" customHeight="true" outlineLevel="0" collapsed="false">
      <c r="A914" s="1" t="n">
        <v>913</v>
      </c>
      <c r="B914" s="7" t="str">
        <f aca="false">HYPERLINK("https://mncourtfraud.com/file/AIO-30.zip","AIO-30.zip")</f>
        <v>AIO-30.zip</v>
      </c>
      <c r="C914" s="8" t="str">
        <f aca="false">HYPERLINK("https://mncourtfraud.com/file/27-CR-19-1916.pdf","27-CR-19-1916")</f>
        <v>27-CR-19-1916</v>
      </c>
      <c r="D914" s="3" t="s">
        <v>586</v>
      </c>
      <c r="E914" s="8" t="str">
        <f aca="false">HYPERLINK("https://mncourtfraud.com/file/MCRO_27-CR-19-1916_Notice of Remote Hearing with Instructions_2023-06-12_20240430091212.pdf","MCRO_27-CR-19-1916_Notice of Remote Hearing with Instructions_2023-06-12_20240430091212.pdf")</f>
        <v>MCRO_27-CR-19-1916_Notice of Remote Hearing with Instructions_2023-06-12_20240430091212.pdf</v>
      </c>
      <c r="F914" s="9" t="n">
        <v>45089</v>
      </c>
      <c r="G914" s="1" t="s">
        <v>749</v>
      </c>
      <c r="H914" s="3" t="s">
        <v>750</v>
      </c>
      <c r="I914" s="3" t="s">
        <v>751</v>
      </c>
    </row>
    <row r="915" customFormat="false" ht="18.7" hidden="false" customHeight="true" outlineLevel="0" collapsed="false">
      <c r="A915" s="1" t="n">
        <v>914</v>
      </c>
      <c r="B915" s="7" t="str">
        <f aca="false">HYPERLINK("https://mncourtfraud.com/file/AIO-30.zip","AIO-30.zip")</f>
        <v>AIO-30.zip</v>
      </c>
      <c r="C915" s="8" t="str">
        <f aca="false">HYPERLINK("https://mncourtfraud.com/file/27-CR-19-3539.pdf","27-CR-19-3539")</f>
        <v>27-CR-19-3539</v>
      </c>
      <c r="D915" s="3" t="s">
        <v>586</v>
      </c>
      <c r="E915" s="8" t="str">
        <f aca="false">HYPERLINK("https://mncourtfraud.com/file/MCRO_27-CR-19-3539_Notice of Remote Hearing with Instructions_2023-06-12_20240430091324.pdf","MCRO_27-CR-19-3539_Notice of Remote Hearing with Instructions_2023-06-12_20240430091324.pdf")</f>
        <v>MCRO_27-CR-19-3539_Notice of Remote Hearing with Instructions_2023-06-12_20240430091324.pdf</v>
      </c>
      <c r="F915" s="9" t="n">
        <v>45089</v>
      </c>
      <c r="G915" s="1" t="s">
        <v>749</v>
      </c>
      <c r="H915" s="3" t="s">
        <v>750</v>
      </c>
      <c r="I915" s="3" t="s">
        <v>751</v>
      </c>
    </row>
    <row r="916" customFormat="false" ht="18.7" hidden="false" customHeight="true" outlineLevel="0" collapsed="false">
      <c r="A916" s="1" t="n">
        <v>915</v>
      </c>
      <c r="B916" s="7" t="str">
        <f aca="false">HYPERLINK("https://mncourtfraud.com/file/AIO-30.zip","AIO-30.zip")</f>
        <v>AIO-30.zip</v>
      </c>
      <c r="C916" s="8" t="str">
        <f aca="false">HYPERLINK("https://mncourtfraud.com/file/27-CR-21-22058.pdf","27-CR-21-22058")</f>
        <v>27-CR-21-22058</v>
      </c>
      <c r="D916" s="3" t="s">
        <v>586</v>
      </c>
      <c r="E916" s="8" t="str">
        <f aca="false">HYPERLINK("https://mncourtfraud.com/file/MCRO_27-CR-21-22058_Notice of Remote Hearing with Instructions_2023-06-12_20240430083548.pdf","MCRO_27-CR-21-22058_Notice of Remote Hearing with Instructions_2023-06-12_20240430083548.pdf")</f>
        <v>MCRO_27-CR-21-22058_Notice of Remote Hearing with Instructions_2023-06-12_20240430083548.pdf</v>
      </c>
      <c r="F916" s="9" t="n">
        <v>45089</v>
      </c>
      <c r="G916" s="1" t="s">
        <v>749</v>
      </c>
      <c r="H916" s="3" t="s">
        <v>750</v>
      </c>
      <c r="I916" s="3" t="s">
        <v>751</v>
      </c>
    </row>
    <row r="917" customFormat="false" ht="18.7" hidden="false" customHeight="true" outlineLevel="0" collapsed="false">
      <c r="A917" s="1" t="n">
        <v>916</v>
      </c>
      <c r="F917" s="9"/>
    </row>
    <row r="918" customFormat="false" ht="18.7" hidden="false" customHeight="true" outlineLevel="0" collapsed="false">
      <c r="A918" s="1" t="n">
        <v>917</v>
      </c>
      <c r="B918" s="7" t="str">
        <f aca="false">HYPERLINK("https://mncourtfraud.com/file/AIO-31.zip","AIO-31.zip")</f>
        <v>AIO-31.zip</v>
      </c>
      <c r="C918" s="8" t="str">
        <f aca="false">HYPERLINK("https://mncourtfraud.com/file/27-CR-18-18391.pdf","27-CR-18-18391")</f>
        <v>27-CR-18-18391</v>
      </c>
      <c r="D918" s="3" t="s">
        <v>586</v>
      </c>
      <c r="E918" s="8" t="str">
        <f aca="false">HYPERLINK("https://mncourtfraud.com/file/MCRO_27-CR-18-18391_Order-Evaluation for Competency to Proceed (Rule 20.01)_2023-09-28_20240430092718.pdf","MCRO_27-CR-18-18391_Order-Evaluation for Competency to Proceed (Rule 20.01)_2023-09-28_20240430092718.pdf")</f>
        <v>MCRO_27-CR-18-18391_Order-Evaluation for Competency to Proceed (Rule 20.01)_2023-09-28_20240430092718.pdf</v>
      </c>
      <c r="F918" s="9" t="n">
        <v>45197</v>
      </c>
      <c r="G918" s="1" t="s">
        <v>752</v>
      </c>
      <c r="H918" s="3" t="s">
        <v>753</v>
      </c>
      <c r="I918" s="3" t="s">
        <v>754</v>
      </c>
      <c r="J918" s="3" t="s">
        <v>55</v>
      </c>
      <c r="K918" s="1" t="s">
        <v>755</v>
      </c>
      <c r="L918" s="3" t="s">
        <v>756</v>
      </c>
    </row>
    <row r="919" customFormat="false" ht="18.7" hidden="false" customHeight="true" outlineLevel="0" collapsed="false">
      <c r="A919" s="1" t="n">
        <v>918</v>
      </c>
      <c r="B919" s="7" t="str">
        <f aca="false">HYPERLINK("https://mncourtfraud.com/file/AIO-31.zip","AIO-31.zip")</f>
        <v>AIO-31.zip</v>
      </c>
      <c r="C919" s="8" t="str">
        <f aca="false">HYPERLINK("https://mncourtfraud.com/file/27-CR-19-17539.pdf","27-CR-19-17539")</f>
        <v>27-CR-19-17539</v>
      </c>
      <c r="D919" s="3" t="s">
        <v>586</v>
      </c>
      <c r="E919" s="8" t="str">
        <f aca="false">HYPERLINK("https://mncourtfraud.com/file/MCRO_27-CR-19-17539_Order-Evaluation for Competency to Proceed (Rule 20.01)_2023-09-28_20240430091930.pdf","MCRO_27-CR-19-17539_Order-Evaluation for Competency to Proceed (Rule 20.01)_2023-09-28_20240430091930.pdf")</f>
        <v>MCRO_27-CR-19-17539_Order-Evaluation for Competency to Proceed (Rule 20.01)_2023-09-28_20240430091930.pdf</v>
      </c>
      <c r="F919" s="9" t="n">
        <v>45197</v>
      </c>
      <c r="G919" s="1" t="s">
        <v>752</v>
      </c>
      <c r="H919" s="3" t="s">
        <v>753</v>
      </c>
      <c r="I919" s="3" t="s">
        <v>754</v>
      </c>
      <c r="J919" s="3" t="s">
        <v>55</v>
      </c>
      <c r="K919" s="1" t="s">
        <v>755</v>
      </c>
      <c r="L919" s="3" t="s">
        <v>756</v>
      </c>
    </row>
    <row r="920" customFormat="false" ht="18.7" hidden="false" customHeight="true" outlineLevel="0" collapsed="false">
      <c r="A920" s="1" t="n">
        <v>919</v>
      </c>
      <c r="B920" s="7" t="str">
        <f aca="false">HYPERLINK("https://mncourtfraud.com/file/AIO-31.zip","AIO-31.zip")</f>
        <v>AIO-31.zip</v>
      </c>
      <c r="C920" s="8" t="str">
        <f aca="false">HYPERLINK("https://mncourtfraud.com/file/27-CR-19-1916.pdf","27-CR-19-1916")</f>
        <v>27-CR-19-1916</v>
      </c>
      <c r="D920" s="3" t="s">
        <v>586</v>
      </c>
      <c r="E920" s="8" t="str">
        <f aca="false">HYPERLINK("https://mncourtfraud.com/file/MCRO_27-CR-19-1916_Order-Evaluation for Competency to Proceed (Rule 20.01)_2023-09-28_20240430091211.pdf","MCRO_27-CR-19-1916_Order-Evaluation for Competency to Proceed (Rule 20.01)_2023-09-28_20240430091211.pdf")</f>
        <v>MCRO_27-CR-19-1916_Order-Evaluation for Competency to Proceed (Rule 20.01)_2023-09-28_20240430091211.pdf</v>
      </c>
      <c r="F920" s="9" t="n">
        <v>45197</v>
      </c>
      <c r="G920" s="1" t="s">
        <v>752</v>
      </c>
      <c r="H920" s="3" t="s">
        <v>753</v>
      </c>
      <c r="I920" s="3" t="s">
        <v>754</v>
      </c>
      <c r="J920" s="3" t="s">
        <v>55</v>
      </c>
      <c r="K920" s="1" t="s">
        <v>755</v>
      </c>
      <c r="L920" s="3" t="s">
        <v>756</v>
      </c>
    </row>
    <row r="921" customFormat="false" ht="18.7" hidden="false" customHeight="true" outlineLevel="0" collapsed="false">
      <c r="A921" s="1" t="n">
        <v>920</v>
      </c>
      <c r="B921" s="7" t="str">
        <f aca="false">HYPERLINK("https://mncourtfraud.com/file/AIO-31.zip","AIO-31.zip")</f>
        <v>AIO-31.zip</v>
      </c>
      <c r="C921" s="8" t="str">
        <f aca="false">HYPERLINK("https://mncourtfraud.com/file/27-CR-19-3539.pdf","27-CR-19-3539")</f>
        <v>27-CR-19-3539</v>
      </c>
      <c r="D921" s="3" t="s">
        <v>586</v>
      </c>
      <c r="E921" s="8" t="str">
        <f aca="false">HYPERLINK("https://mncourtfraud.com/file/MCRO_27-CR-19-3539_Order-Evaluation for Competency to Proceed (Rule 20.01)_2023-09-28_20240430091323.pdf","MCRO_27-CR-19-3539_Order-Evaluation for Competency to Proceed (Rule 20.01)_2023-09-28_20240430091323.pdf")</f>
        <v>MCRO_27-CR-19-3539_Order-Evaluation for Competency to Proceed (Rule 20.01)_2023-09-28_20240430091323.pdf</v>
      </c>
      <c r="F921" s="9" t="n">
        <v>45197</v>
      </c>
      <c r="G921" s="1" t="s">
        <v>752</v>
      </c>
      <c r="H921" s="3" t="s">
        <v>753</v>
      </c>
      <c r="I921" s="3" t="s">
        <v>754</v>
      </c>
      <c r="J921" s="3" t="s">
        <v>55</v>
      </c>
      <c r="K921" s="1" t="s">
        <v>755</v>
      </c>
      <c r="L921" s="3" t="s">
        <v>756</v>
      </c>
    </row>
    <row r="922" customFormat="false" ht="18.7" hidden="false" customHeight="true" outlineLevel="0" collapsed="false">
      <c r="A922" s="1" t="n">
        <v>921</v>
      </c>
      <c r="B922" s="7" t="str">
        <f aca="false">HYPERLINK("https://mncourtfraud.com/file/AIO-31.zip","AIO-31.zip")</f>
        <v>AIO-31.zip</v>
      </c>
      <c r="C922" s="8" t="str">
        <f aca="false">HYPERLINK("https://mncourtfraud.com/file/27-CR-21-22058.pdf","27-CR-21-22058")</f>
        <v>27-CR-21-22058</v>
      </c>
      <c r="D922" s="3" t="s">
        <v>586</v>
      </c>
      <c r="E922" s="8" t="str">
        <f aca="false">HYPERLINK("https://mncourtfraud.com/file/MCRO_27-CR-21-22058_Order-Evaluation for Competency to Proceed (Rule 20.01)_2023-09-28_20240430083547.pdf","MCRO_27-CR-21-22058_Order-Evaluation for Competency to Proceed (Rule 20.01)_2023-09-28_20240430083547.pdf")</f>
        <v>MCRO_27-CR-21-22058_Order-Evaluation for Competency to Proceed (Rule 20.01)_2023-09-28_20240430083547.pdf</v>
      </c>
      <c r="F922" s="9" t="n">
        <v>45197</v>
      </c>
      <c r="G922" s="1" t="s">
        <v>752</v>
      </c>
      <c r="H922" s="3" t="s">
        <v>753</v>
      </c>
      <c r="I922" s="3" t="s">
        <v>754</v>
      </c>
      <c r="J922" s="3" t="s">
        <v>55</v>
      </c>
      <c r="K922" s="1" t="s">
        <v>755</v>
      </c>
      <c r="L922" s="3" t="s">
        <v>756</v>
      </c>
    </row>
    <row r="923" customFormat="false" ht="18.7" hidden="false" customHeight="true" outlineLevel="0" collapsed="false">
      <c r="A923" s="1" t="n">
        <v>922</v>
      </c>
      <c r="F923" s="9"/>
    </row>
    <row r="924" customFormat="false" ht="18.7" hidden="false" customHeight="true" outlineLevel="0" collapsed="false">
      <c r="A924" s="1" t="n">
        <v>923</v>
      </c>
      <c r="B924" s="7" t="str">
        <f aca="false">HYPERLINK("https://mncourtfraud.com/file/AIO-32.zip","AIO-32.zip")</f>
        <v>AIO-32.zip</v>
      </c>
      <c r="C924" s="8" t="str">
        <f aca="false">HYPERLINK("https://mncourtfraud.com/file/27-CR-18-18391.pdf","27-CR-18-18391")</f>
        <v>27-CR-18-18391</v>
      </c>
      <c r="D924" s="3" t="s">
        <v>586</v>
      </c>
      <c r="E924" s="8" t="str">
        <f aca="false">HYPERLINK("https://mncourtfraud.com/file/MCRO_27-CR-18-18391_Notice of Remote Hearing with Instructions_2024-01-02_20240430092717.pdf","MCRO_27-CR-18-18391_Notice of Remote Hearing with Instructions_2024-01-02_20240430092717.pdf")</f>
        <v>MCRO_27-CR-18-18391_Notice of Remote Hearing with Instructions_2024-01-02_20240430092717.pdf</v>
      </c>
      <c r="F924" s="9" t="n">
        <v>45293</v>
      </c>
      <c r="G924" s="1" t="s">
        <v>757</v>
      </c>
      <c r="H924" s="3" t="s">
        <v>758</v>
      </c>
      <c r="I924" s="3" t="s">
        <v>759</v>
      </c>
    </row>
    <row r="925" customFormat="false" ht="18.7" hidden="false" customHeight="true" outlineLevel="0" collapsed="false">
      <c r="A925" s="1" t="n">
        <v>924</v>
      </c>
      <c r="B925" s="7" t="str">
        <f aca="false">HYPERLINK("https://mncourtfraud.com/file/AIO-32.zip","AIO-32.zip")</f>
        <v>AIO-32.zip</v>
      </c>
      <c r="C925" s="8" t="str">
        <f aca="false">HYPERLINK("https://mncourtfraud.com/file/27-CR-19-17539.pdf","27-CR-19-17539")</f>
        <v>27-CR-19-17539</v>
      </c>
      <c r="D925" s="3" t="s">
        <v>586</v>
      </c>
      <c r="E925" s="8" t="str">
        <f aca="false">HYPERLINK("https://mncourtfraud.com/file/MCRO_27-CR-19-17539_Notice of Remote Hearing with Instructions_2024-01-02_20240430091928.pdf","MCRO_27-CR-19-17539_Notice of Remote Hearing with Instructions_2024-01-02_20240430091928.pdf")</f>
        <v>MCRO_27-CR-19-17539_Notice of Remote Hearing with Instructions_2024-01-02_20240430091928.pdf</v>
      </c>
      <c r="F925" s="9" t="n">
        <v>45293</v>
      </c>
      <c r="G925" s="1" t="s">
        <v>757</v>
      </c>
      <c r="H925" s="3" t="s">
        <v>758</v>
      </c>
      <c r="I925" s="3" t="s">
        <v>759</v>
      </c>
    </row>
    <row r="926" customFormat="false" ht="18.7" hidden="false" customHeight="true" outlineLevel="0" collapsed="false">
      <c r="A926" s="1" t="n">
        <v>925</v>
      </c>
      <c r="B926" s="7" t="str">
        <f aca="false">HYPERLINK("https://mncourtfraud.com/file/AIO-32.zip","AIO-32.zip")</f>
        <v>AIO-32.zip</v>
      </c>
      <c r="C926" s="8" t="str">
        <f aca="false">HYPERLINK("https://mncourtfraud.com/file/27-CR-19-1916.pdf","27-CR-19-1916")</f>
        <v>27-CR-19-1916</v>
      </c>
      <c r="D926" s="3" t="s">
        <v>586</v>
      </c>
      <c r="E926" s="8" t="str">
        <f aca="false">HYPERLINK("https://mncourtfraud.com/file/MCRO_27-CR-19-1916_Notice of Remote Hearing with Instructions_2024-01-02_20240430091210.pdf","MCRO_27-CR-19-1916_Notice of Remote Hearing with Instructions_2024-01-02_20240430091210.pdf")</f>
        <v>MCRO_27-CR-19-1916_Notice of Remote Hearing with Instructions_2024-01-02_20240430091210.pdf</v>
      </c>
      <c r="F926" s="9" t="n">
        <v>45293</v>
      </c>
      <c r="G926" s="1" t="s">
        <v>757</v>
      </c>
      <c r="H926" s="3" t="s">
        <v>758</v>
      </c>
      <c r="I926" s="3" t="s">
        <v>759</v>
      </c>
    </row>
    <row r="927" customFormat="false" ht="18.7" hidden="false" customHeight="true" outlineLevel="0" collapsed="false">
      <c r="A927" s="1" t="n">
        <v>926</v>
      </c>
      <c r="B927" s="7" t="str">
        <f aca="false">HYPERLINK("https://mncourtfraud.com/file/AIO-32.zip","AIO-32.zip")</f>
        <v>AIO-32.zip</v>
      </c>
      <c r="C927" s="8" t="str">
        <f aca="false">HYPERLINK("https://mncourtfraud.com/file/27-CR-19-3539.pdf","27-CR-19-3539")</f>
        <v>27-CR-19-3539</v>
      </c>
      <c r="D927" s="3" t="s">
        <v>586</v>
      </c>
      <c r="E927" s="8" t="str">
        <f aca="false">HYPERLINK("https://mncourtfraud.com/file/MCRO_27-CR-19-3539_Notice of Remote Hearing with Instructions_2024-01-02_20240430091321.pdf","MCRO_27-CR-19-3539_Notice of Remote Hearing with Instructions_2024-01-02_20240430091321.pdf")</f>
        <v>MCRO_27-CR-19-3539_Notice of Remote Hearing with Instructions_2024-01-02_20240430091321.pdf</v>
      </c>
      <c r="F927" s="9" t="n">
        <v>45293</v>
      </c>
      <c r="G927" s="1" t="s">
        <v>757</v>
      </c>
      <c r="H927" s="3" t="s">
        <v>758</v>
      </c>
      <c r="I927" s="3" t="s">
        <v>759</v>
      </c>
    </row>
    <row r="928" customFormat="false" ht="18.7" hidden="false" customHeight="true" outlineLevel="0" collapsed="false">
      <c r="A928" s="1" t="n">
        <v>927</v>
      </c>
      <c r="B928" s="7" t="str">
        <f aca="false">HYPERLINK("https://mncourtfraud.com/file/AIO-32.zip","AIO-32.zip")</f>
        <v>AIO-32.zip</v>
      </c>
      <c r="C928" s="8" t="str">
        <f aca="false">HYPERLINK("https://mncourtfraud.com/file/27-CR-21-22058.pdf","27-CR-21-22058")</f>
        <v>27-CR-21-22058</v>
      </c>
      <c r="D928" s="3" t="s">
        <v>586</v>
      </c>
      <c r="E928" s="8" t="str">
        <f aca="false">HYPERLINK("https://mncourtfraud.com/file/MCRO_27-CR-21-22058_Notice of Remote Hearing with Instructions_2024-01-02_20240430083546.pdf","MCRO_27-CR-21-22058_Notice of Remote Hearing with Instructions_2024-01-02_20240430083546.pdf")</f>
        <v>MCRO_27-CR-21-22058_Notice of Remote Hearing with Instructions_2024-01-02_20240430083546.pdf</v>
      </c>
      <c r="F928" s="9" t="n">
        <v>45293</v>
      </c>
      <c r="G928" s="1" t="s">
        <v>757</v>
      </c>
      <c r="H928" s="3" t="s">
        <v>758</v>
      </c>
      <c r="I928" s="3" t="s">
        <v>759</v>
      </c>
    </row>
    <row r="929" customFormat="false" ht="18.7" hidden="false" customHeight="true" outlineLevel="0" collapsed="false">
      <c r="A929" s="1" t="n">
        <v>928</v>
      </c>
      <c r="F929" s="9"/>
    </row>
    <row r="930" customFormat="false" ht="18.7" hidden="false" customHeight="true" outlineLevel="0" collapsed="false">
      <c r="A930" s="1" t="n">
        <v>929</v>
      </c>
      <c r="B930" s="7" t="str">
        <f aca="false">HYPERLINK("https://mncourtfraud.com/file/AIO-33.zip","AIO-33.zip")</f>
        <v>AIO-33.zip</v>
      </c>
      <c r="C930" s="8" t="str">
        <f aca="false">HYPERLINK("https://mncourtfraud.com/file/27-CR-18-18391.pdf","27-CR-18-18391")</f>
        <v>27-CR-18-18391</v>
      </c>
      <c r="D930" s="3" t="s">
        <v>586</v>
      </c>
      <c r="E930" s="8" t="str">
        <f aca="false">HYPERLINK("https://mncourtfraud.com/file/MCRO_27-CR-18-18391_Order to Transport_2024-02-02_20240430092716.pdf","MCRO_27-CR-18-18391_Order to Transport_2024-02-02_20240430092716.pdf")</f>
        <v>MCRO_27-CR-18-18391_Order to Transport_2024-02-02_20240430092716.pdf</v>
      </c>
      <c r="F930" s="9" t="n">
        <v>45324</v>
      </c>
      <c r="G930" s="1" t="s">
        <v>760</v>
      </c>
      <c r="H930" s="3" t="s">
        <v>761</v>
      </c>
      <c r="I930" s="3" t="s">
        <v>762</v>
      </c>
      <c r="J930" s="3" t="s">
        <v>55</v>
      </c>
      <c r="K930" s="1" t="s">
        <v>763</v>
      </c>
      <c r="L930" s="3" t="s">
        <v>764</v>
      </c>
    </row>
    <row r="931" customFormat="false" ht="18.7" hidden="false" customHeight="true" outlineLevel="0" collapsed="false">
      <c r="A931" s="1" t="n">
        <v>930</v>
      </c>
      <c r="B931" s="7" t="str">
        <f aca="false">HYPERLINK("https://mncourtfraud.com/file/AIO-33.zip","AIO-33.zip")</f>
        <v>AIO-33.zip</v>
      </c>
      <c r="C931" s="8" t="str">
        <f aca="false">HYPERLINK("https://mncourtfraud.com/file/27-CR-19-17539.pdf","27-CR-19-17539")</f>
        <v>27-CR-19-17539</v>
      </c>
      <c r="D931" s="3" t="s">
        <v>586</v>
      </c>
      <c r="E931" s="8" t="str">
        <f aca="false">HYPERLINK("https://mncourtfraud.com/file/MCRO_27-CR-19-17539_Order to Transport_2024-02-02_20240430091927.pdf","MCRO_27-CR-19-17539_Order to Transport_2024-02-02_20240430091927.pdf")</f>
        <v>MCRO_27-CR-19-17539_Order to Transport_2024-02-02_20240430091927.pdf</v>
      </c>
      <c r="F931" s="9" t="n">
        <v>45324</v>
      </c>
      <c r="G931" s="1" t="s">
        <v>760</v>
      </c>
      <c r="H931" s="3" t="s">
        <v>761</v>
      </c>
      <c r="I931" s="3" t="s">
        <v>762</v>
      </c>
      <c r="J931" s="3" t="s">
        <v>55</v>
      </c>
      <c r="K931" s="1" t="s">
        <v>763</v>
      </c>
      <c r="L931" s="3" t="s">
        <v>764</v>
      </c>
    </row>
    <row r="932" customFormat="false" ht="18.7" hidden="false" customHeight="true" outlineLevel="0" collapsed="false">
      <c r="A932" s="1" t="n">
        <v>931</v>
      </c>
      <c r="B932" s="7" t="str">
        <f aca="false">HYPERLINK("https://mncourtfraud.com/file/AIO-33.zip","AIO-33.zip")</f>
        <v>AIO-33.zip</v>
      </c>
      <c r="C932" s="8" t="str">
        <f aca="false">HYPERLINK("https://mncourtfraud.com/file/27-CR-19-1916.pdf","27-CR-19-1916")</f>
        <v>27-CR-19-1916</v>
      </c>
      <c r="D932" s="3" t="s">
        <v>586</v>
      </c>
      <c r="E932" s="8" t="str">
        <f aca="false">HYPERLINK("https://mncourtfraud.com/file/MCRO_27-CR-19-1916_Order to Transport_2024-02-02_20240430091209.pdf","MCRO_27-CR-19-1916_Order to Transport_2024-02-02_20240430091209.pdf")</f>
        <v>MCRO_27-CR-19-1916_Order to Transport_2024-02-02_20240430091209.pdf</v>
      </c>
      <c r="F932" s="9" t="n">
        <v>45324</v>
      </c>
      <c r="G932" s="1" t="s">
        <v>760</v>
      </c>
      <c r="H932" s="3" t="s">
        <v>761</v>
      </c>
      <c r="I932" s="3" t="s">
        <v>762</v>
      </c>
      <c r="J932" s="3" t="s">
        <v>55</v>
      </c>
      <c r="K932" s="1" t="s">
        <v>763</v>
      </c>
      <c r="L932" s="3" t="s">
        <v>764</v>
      </c>
    </row>
    <row r="933" customFormat="false" ht="18.7" hidden="false" customHeight="true" outlineLevel="0" collapsed="false">
      <c r="A933" s="1" t="n">
        <v>932</v>
      </c>
      <c r="B933" s="7" t="str">
        <f aca="false">HYPERLINK("https://mncourtfraud.com/file/AIO-33.zip","AIO-33.zip")</f>
        <v>AIO-33.zip</v>
      </c>
      <c r="C933" s="8" t="str">
        <f aca="false">HYPERLINK("https://mncourtfraud.com/file/27-CR-19-3539.pdf","27-CR-19-3539")</f>
        <v>27-CR-19-3539</v>
      </c>
      <c r="D933" s="3" t="s">
        <v>586</v>
      </c>
      <c r="E933" s="8" t="str">
        <f aca="false">HYPERLINK("https://mncourtfraud.com/file/MCRO_27-CR-19-3539_Order to Transport_2024-02-02_20240430091320.pdf","MCRO_27-CR-19-3539_Order to Transport_2024-02-02_20240430091320.pdf")</f>
        <v>MCRO_27-CR-19-3539_Order to Transport_2024-02-02_20240430091320.pdf</v>
      </c>
      <c r="F933" s="9" t="n">
        <v>45324</v>
      </c>
      <c r="G933" s="1" t="s">
        <v>760</v>
      </c>
      <c r="H933" s="3" t="s">
        <v>761</v>
      </c>
      <c r="I933" s="3" t="s">
        <v>762</v>
      </c>
      <c r="J933" s="3" t="s">
        <v>55</v>
      </c>
      <c r="K933" s="1" t="s">
        <v>763</v>
      </c>
      <c r="L933" s="3" t="s">
        <v>764</v>
      </c>
    </row>
    <row r="934" customFormat="false" ht="18.7" hidden="false" customHeight="true" outlineLevel="0" collapsed="false">
      <c r="A934" s="1" t="n">
        <v>933</v>
      </c>
      <c r="B934" s="7" t="str">
        <f aca="false">HYPERLINK("https://mncourtfraud.com/file/AIO-33.zip","AIO-33.zip")</f>
        <v>AIO-33.zip</v>
      </c>
      <c r="C934" s="8" t="str">
        <f aca="false">HYPERLINK("https://mncourtfraud.com/file/27-CR-21-22058.pdf","27-CR-21-22058")</f>
        <v>27-CR-21-22058</v>
      </c>
      <c r="D934" s="3" t="s">
        <v>586</v>
      </c>
      <c r="E934" s="8" t="str">
        <f aca="false">HYPERLINK("https://mncourtfraud.com/file/MCRO_27-CR-21-22058_Order to Transport_2024-02-02_20240430083544.pdf","MCRO_27-CR-21-22058_Order to Transport_2024-02-02_20240430083544.pdf")</f>
        <v>MCRO_27-CR-21-22058_Order to Transport_2024-02-02_20240430083544.pdf</v>
      </c>
      <c r="F934" s="9" t="n">
        <v>45324</v>
      </c>
      <c r="G934" s="1" t="s">
        <v>760</v>
      </c>
      <c r="H934" s="3" t="s">
        <v>761</v>
      </c>
      <c r="I934" s="3" t="s">
        <v>762</v>
      </c>
      <c r="J934" s="3" t="s">
        <v>55</v>
      </c>
      <c r="K934" s="1" t="s">
        <v>763</v>
      </c>
      <c r="L934" s="3" t="s">
        <v>764</v>
      </c>
    </row>
    <row r="935" customFormat="false" ht="18.7" hidden="false" customHeight="true" outlineLevel="0" collapsed="false">
      <c r="A935" s="1" t="n">
        <v>934</v>
      </c>
      <c r="F935" s="9"/>
    </row>
    <row r="936" customFormat="false" ht="18.7" hidden="false" customHeight="true" outlineLevel="0" collapsed="false">
      <c r="A936" s="1" t="n">
        <v>935</v>
      </c>
      <c r="B936" s="7" t="str">
        <f aca="false">HYPERLINK("https://mncourtfraud.com/file/AIO-34.zip","AIO-34.zip")</f>
        <v>AIO-34.zip</v>
      </c>
      <c r="C936" s="8" t="str">
        <f aca="false">HYPERLINK("https://mncourtfraud.com/file/27-CR-18-18391.pdf","27-CR-18-18391")</f>
        <v>27-CR-18-18391</v>
      </c>
      <c r="D936" s="3" t="s">
        <v>586</v>
      </c>
      <c r="E936" s="8" t="str">
        <f aca="false">HYPERLINK("https://mncourtfraud.com/file/MCRO_27-CR-18-18391_Notice of Remote Hearing with Instructions_2024-03-12_20240430092714.pdf","MCRO_27-CR-18-18391_Notice of Remote Hearing with Instructions_2024-03-12_20240430092714.pdf")</f>
        <v>MCRO_27-CR-18-18391_Notice of Remote Hearing with Instructions_2024-03-12_20240430092714.pdf</v>
      </c>
      <c r="F936" s="9" t="n">
        <v>45363</v>
      </c>
      <c r="G936" s="1" t="s">
        <v>765</v>
      </c>
      <c r="H936" s="3" t="s">
        <v>766</v>
      </c>
      <c r="I936" s="3" t="s">
        <v>767</v>
      </c>
    </row>
    <row r="937" customFormat="false" ht="18.7" hidden="false" customHeight="true" outlineLevel="0" collapsed="false">
      <c r="A937" s="1" t="n">
        <v>936</v>
      </c>
      <c r="B937" s="7" t="str">
        <f aca="false">HYPERLINK("https://mncourtfraud.com/file/AIO-34.zip","AIO-34.zip")</f>
        <v>AIO-34.zip</v>
      </c>
      <c r="C937" s="8" t="str">
        <f aca="false">HYPERLINK("https://mncourtfraud.com/file/27-CR-19-17539.pdf","27-CR-19-17539")</f>
        <v>27-CR-19-17539</v>
      </c>
      <c r="D937" s="3" t="s">
        <v>586</v>
      </c>
      <c r="E937" s="8" t="str">
        <f aca="false">HYPERLINK("https://mncourtfraud.com/file/MCRO_27-CR-19-17539_Notice of Remote Hearing with Instructions_2024-03-12_20240430091925.pdf","MCRO_27-CR-19-17539_Notice of Remote Hearing with Instructions_2024-03-12_20240430091925.pdf")</f>
        <v>MCRO_27-CR-19-17539_Notice of Remote Hearing with Instructions_2024-03-12_20240430091925.pdf</v>
      </c>
      <c r="F937" s="9" t="n">
        <v>45363</v>
      </c>
      <c r="G937" s="1" t="s">
        <v>765</v>
      </c>
      <c r="H937" s="3" t="s">
        <v>766</v>
      </c>
      <c r="I937" s="3" t="s">
        <v>767</v>
      </c>
    </row>
    <row r="938" customFormat="false" ht="18.7" hidden="false" customHeight="true" outlineLevel="0" collapsed="false">
      <c r="A938" s="1" t="n">
        <v>937</v>
      </c>
      <c r="B938" s="7" t="str">
        <f aca="false">HYPERLINK("https://mncourtfraud.com/file/AIO-34.zip","AIO-34.zip")</f>
        <v>AIO-34.zip</v>
      </c>
      <c r="C938" s="8" t="str">
        <f aca="false">HYPERLINK("https://mncourtfraud.com/file/27-CR-19-1916.pdf","27-CR-19-1916")</f>
        <v>27-CR-19-1916</v>
      </c>
      <c r="D938" s="3" t="s">
        <v>586</v>
      </c>
      <c r="E938" s="8" t="str">
        <f aca="false">HYPERLINK("https://mncourtfraud.com/file/MCRO_27-CR-19-1916_Notice of Remote Hearing with Instructions_2024-03-12_20240430091207.pdf","MCRO_27-CR-19-1916_Notice of Remote Hearing with Instructions_2024-03-12_20240430091207.pdf")</f>
        <v>MCRO_27-CR-19-1916_Notice of Remote Hearing with Instructions_2024-03-12_20240430091207.pdf</v>
      </c>
      <c r="F938" s="9" t="n">
        <v>45363</v>
      </c>
      <c r="G938" s="1" t="s">
        <v>765</v>
      </c>
      <c r="H938" s="3" t="s">
        <v>766</v>
      </c>
      <c r="I938" s="3" t="s">
        <v>767</v>
      </c>
    </row>
    <row r="939" customFormat="false" ht="18.7" hidden="false" customHeight="true" outlineLevel="0" collapsed="false">
      <c r="A939" s="1" t="n">
        <v>938</v>
      </c>
      <c r="B939" s="7" t="str">
        <f aca="false">HYPERLINK("https://mncourtfraud.com/file/AIO-34.zip","AIO-34.zip")</f>
        <v>AIO-34.zip</v>
      </c>
      <c r="C939" s="8" t="str">
        <f aca="false">HYPERLINK("https://mncourtfraud.com/file/27-CR-19-3539.pdf","27-CR-19-3539")</f>
        <v>27-CR-19-3539</v>
      </c>
      <c r="D939" s="3" t="s">
        <v>586</v>
      </c>
      <c r="E939" s="8" t="str">
        <f aca="false">HYPERLINK("https://mncourtfraud.com/file/MCRO_27-CR-19-3539_Notice of Remote Hearing with Instructions_2024-03-12_20240430091319.pdf","MCRO_27-CR-19-3539_Notice of Remote Hearing with Instructions_2024-03-12_20240430091319.pdf")</f>
        <v>MCRO_27-CR-19-3539_Notice of Remote Hearing with Instructions_2024-03-12_20240430091319.pdf</v>
      </c>
      <c r="F939" s="9" t="n">
        <v>45363</v>
      </c>
      <c r="G939" s="1" t="s">
        <v>765</v>
      </c>
      <c r="H939" s="3" t="s">
        <v>766</v>
      </c>
      <c r="I939" s="3" t="s">
        <v>767</v>
      </c>
    </row>
    <row r="940" customFormat="false" ht="18.7" hidden="false" customHeight="true" outlineLevel="0" collapsed="false">
      <c r="A940" s="1" t="n">
        <v>939</v>
      </c>
      <c r="F940" s="9"/>
    </row>
    <row r="941" customFormat="false" ht="18.7" hidden="false" customHeight="true" outlineLevel="0" collapsed="false">
      <c r="A941" s="1" t="n">
        <v>940</v>
      </c>
      <c r="B941" s="7" t="str">
        <f aca="false">HYPERLINK("https://mncourtfraud.com/file/AIO-35.zip","AIO-35.zip")</f>
        <v>AIO-35.zip</v>
      </c>
      <c r="C941" s="8" t="str">
        <f aca="false">HYPERLINK("https://mncourtfraud.com/file/27-CR-18-18391.pdf","27-CR-18-18391")</f>
        <v>27-CR-18-18391</v>
      </c>
      <c r="D941" s="3" t="s">
        <v>586</v>
      </c>
      <c r="E941" s="8" t="str">
        <f aca="false">HYPERLINK("https://mncourtfraud.com/file/MCRO_27-CR-18-18391_Finding of Incompetency and Order_2024-03-20_20240430092713.pdf","MCRO_27-CR-18-18391_Finding of Incompetency and Order_2024-03-20_20240430092713.pdf")</f>
        <v>MCRO_27-CR-18-18391_Finding of Incompetency and Order_2024-03-20_20240430092713.pdf</v>
      </c>
      <c r="F941" s="9" t="n">
        <v>45371</v>
      </c>
      <c r="G941" s="1" t="s">
        <v>768</v>
      </c>
      <c r="H941" s="3" t="s">
        <v>769</v>
      </c>
      <c r="I941" s="3" t="s">
        <v>770</v>
      </c>
      <c r="J941" s="3" t="s">
        <v>145</v>
      </c>
      <c r="K941" s="1" t="s">
        <v>771</v>
      </c>
      <c r="L941" s="3" t="s">
        <v>772</v>
      </c>
      <c r="M941" s="3" t="s">
        <v>64</v>
      </c>
      <c r="N941" s="1" t="s">
        <v>773</v>
      </c>
      <c r="O941" s="3" t="s">
        <v>774</v>
      </c>
    </row>
    <row r="942" customFormat="false" ht="18.7" hidden="false" customHeight="true" outlineLevel="0" collapsed="false">
      <c r="A942" s="1" t="n">
        <v>941</v>
      </c>
      <c r="B942" s="7" t="str">
        <f aca="false">HYPERLINK("https://mncourtfraud.com/file/AIO-35.zip","AIO-35.zip")</f>
        <v>AIO-35.zip</v>
      </c>
      <c r="C942" s="8" t="str">
        <f aca="false">HYPERLINK("https://mncourtfraud.com/file/27-CR-19-17539.pdf","27-CR-19-17539")</f>
        <v>27-CR-19-17539</v>
      </c>
      <c r="D942" s="3" t="s">
        <v>586</v>
      </c>
      <c r="E942" s="8" t="str">
        <f aca="false">HYPERLINK("https://mncourtfraud.com/file/MCRO_27-CR-19-17539_Finding of Incompetency and Order_2024-03-20_20240430091924.pdf","MCRO_27-CR-19-17539_Finding of Incompetency and Order_2024-03-20_20240430091924.pdf")</f>
        <v>MCRO_27-CR-19-17539_Finding of Incompetency and Order_2024-03-20_20240430091924.pdf</v>
      </c>
      <c r="F942" s="9" t="n">
        <v>45371</v>
      </c>
      <c r="G942" s="1" t="s">
        <v>768</v>
      </c>
      <c r="H942" s="3" t="s">
        <v>769</v>
      </c>
      <c r="I942" s="3" t="s">
        <v>770</v>
      </c>
      <c r="J942" s="3" t="s">
        <v>145</v>
      </c>
      <c r="K942" s="1" t="s">
        <v>771</v>
      </c>
      <c r="L942" s="3" t="s">
        <v>772</v>
      </c>
      <c r="M942" s="3" t="s">
        <v>64</v>
      </c>
      <c r="N942" s="1" t="s">
        <v>773</v>
      </c>
      <c r="O942" s="3" t="s">
        <v>774</v>
      </c>
    </row>
    <row r="943" customFormat="false" ht="18.7" hidden="false" customHeight="true" outlineLevel="0" collapsed="false">
      <c r="A943" s="1" t="n">
        <v>942</v>
      </c>
      <c r="B943" s="7" t="str">
        <f aca="false">HYPERLINK("https://mncourtfraud.com/file/AIO-35.zip","AIO-35.zip")</f>
        <v>AIO-35.zip</v>
      </c>
      <c r="C943" s="8" t="str">
        <f aca="false">HYPERLINK("https://mncourtfraud.com/file/27-CR-19-1916.pdf","27-CR-19-1916")</f>
        <v>27-CR-19-1916</v>
      </c>
      <c r="D943" s="3" t="s">
        <v>586</v>
      </c>
      <c r="E943" s="8" t="str">
        <f aca="false">HYPERLINK("https://mncourtfraud.com/file/MCRO_27-CR-19-1916_Finding of Incompetency and Order_2024-03-20_20240430091206.pdf","MCRO_27-CR-19-1916_Finding of Incompetency and Order_2024-03-20_20240430091206.pdf")</f>
        <v>MCRO_27-CR-19-1916_Finding of Incompetency and Order_2024-03-20_20240430091206.pdf</v>
      </c>
      <c r="F943" s="9" t="n">
        <v>45371</v>
      </c>
      <c r="G943" s="1" t="s">
        <v>768</v>
      </c>
      <c r="H943" s="3" t="s">
        <v>769</v>
      </c>
      <c r="I943" s="3" t="s">
        <v>770</v>
      </c>
      <c r="J943" s="3" t="s">
        <v>145</v>
      </c>
      <c r="K943" s="1" t="s">
        <v>771</v>
      </c>
      <c r="L943" s="3" t="s">
        <v>772</v>
      </c>
      <c r="M943" s="3" t="s">
        <v>64</v>
      </c>
      <c r="N943" s="1" t="s">
        <v>773</v>
      </c>
      <c r="O943" s="3" t="s">
        <v>774</v>
      </c>
    </row>
    <row r="944" customFormat="false" ht="18.7" hidden="false" customHeight="true" outlineLevel="0" collapsed="false">
      <c r="A944" s="1" t="n">
        <v>943</v>
      </c>
      <c r="B944" s="7" t="str">
        <f aca="false">HYPERLINK("https://mncourtfraud.com/file/AIO-35.zip","AIO-35.zip")</f>
        <v>AIO-35.zip</v>
      </c>
      <c r="C944" s="8" t="str">
        <f aca="false">HYPERLINK("https://mncourtfraud.com/file/27-CR-19-3539.pdf","27-CR-19-3539")</f>
        <v>27-CR-19-3539</v>
      </c>
      <c r="D944" s="3" t="s">
        <v>586</v>
      </c>
      <c r="E944" s="8" t="str">
        <f aca="false">HYPERLINK("https://mncourtfraud.com/file/MCRO_27-CR-19-3539_Finding of Incompetency and Order_2024-03-20_20240430091319.pdf","MCRO_27-CR-19-3539_Finding of Incompetency and Order_2024-03-20_20240430091319.pdf")</f>
        <v>MCRO_27-CR-19-3539_Finding of Incompetency and Order_2024-03-20_20240430091319.pdf</v>
      </c>
      <c r="F944" s="9" t="n">
        <v>45371</v>
      </c>
      <c r="G944" s="1" t="s">
        <v>768</v>
      </c>
      <c r="H944" s="3" t="s">
        <v>769</v>
      </c>
      <c r="I944" s="3" t="s">
        <v>770</v>
      </c>
      <c r="J944" s="3" t="s">
        <v>145</v>
      </c>
      <c r="K944" s="1" t="s">
        <v>771</v>
      </c>
      <c r="L944" s="3" t="s">
        <v>772</v>
      </c>
      <c r="M944" s="3" t="s">
        <v>64</v>
      </c>
      <c r="N944" s="1" t="s">
        <v>773</v>
      </c>
      <c r="O944" s="3" t="s">
        <v>774</v>
      </c>
    </row>
    <row r="945" customFormat="false" ht="18.7" hidden="false" customHeight="true" outlineLevel="0" collapsed="false">
      <c r="A945" s="1" t="n">
        <v>944</v>
      </c>
      <c r="B945" s="7" t="str">
        <f aca="false">HYPERLINK("https://mncourtfraud.com/file/AIO-35.zip","AIO-35.zip")</f>
        <v>AIO-35.zip</v>
      </c>
      <c r="C945" s="8" t="str">
        <f aca="false">HYPERLINK("https://mncourtfraud.com/file/27-CR-21-22058.pdf","27-CR-21-22058")</f>
        <v>27-CR-21-22058</v>
      </c>
      <c r="D945" s="3" t="s">
        <v>586</v>
      </c>
      <c r="E945" s="8" t="str">
        <f aca="false">HYPERLINK("https://mncourtfraud.com/file/MCRO_27-CR-21-22058_Finding of Incompetency and Order_2024-03-20_20240430083543.pdf","MCRO_27-CR-21-22058_Finding of Incompetency and Order_2024-03-20_20240430083543.pdf")</f>
        <v>MCRO_27-CR-21-22058_Finding of Incompetency and Order_2024-03-20_20240430083543.pdf</v>
      </c>
      <c r="F945" s="9" t="n">
        <v>45371</v>
      </c>
      <c r="G945" s="1" t="s">
        <v>768</v>
      </c>
      <c r="H945" s="3" t="s">
        <v>769</v>
      </c>
      <c r="I945" s="3" t="s">
        <v>770</v>
      </c>
      <c r="J945" s="3" t="s">
        <v>145</v>
      </c>
      <c r="K945" s="1" t="s">
        <v>771</v>
      </c>
      <c r="L945" s="3" t="s">
        <v>772</v>
      </c>
      <c r="M945" s="3" t="s">
        <v>64</v>
      </c>
      <c r="N945" s="1" t="s">
        <v>773</v>
      </c>
      <c r="O945" s="3" t="s">
        <v>774</v>
      </c>
    </row>
    <row r="946" customFormat="false" ht="18.7" hidden="false" customHeight="true" outlineLevel="0" collapsed="false">
      <c r="A946" s="1" t="n">
        <v>945</v>
      </c>
    </row>
    <row r="947" customFormat="false" ht="18.7" hidden="false" customHeight="true" outlineLevel="0" collapsed="false">
      <c r="A947" s="1" t="n">
        <v>946</v>
      </c>
    </row>
    <row r="948" customFormat="false" ht="18.7" hidden="false" customHeight="true" outlineLevel="0" collapsed="false">
      <c r="A948" s="1" t="n">
        <v>947</v>
      </c>
      <c r="B948" s="7" t="str">
        <f aca="false">HYPERLINK("https://mncourtfraud.com/file/ADN-1.zip","ADN-1.zip")</f>
        <v>ADN-1.zip</v>
      </c>
      <c r="C948" s="8" t="str">
        <f aca="false">HYPERLINK("https://mncourtfraud.com/file/27-CR-21-1977.pdf","27-CR-21-1977")</f>
        <v>27-CR-21-1977</v>
      </c>
      <c r="D948" s="3" t="s">
        <v>775</v>
      </c>
      <c r="E948" s="8" t="str">
        <f aca="false">HYPERLINK("https://mncourtfraud.com/file/MCRO_27-CR-21-1977_Demand or Request for Discovery_2021-04-07_20240430075626.pdf","MCRO_27-CR-21-1977_Demand or Request for Discovery_2021-04-07_20240430075626.pdf")</f>
        <v>MCRO_27-CR-21-1977_Demand or Request for Discovery_2021-04-07_20240430075626.pdf</v>
      </c>
      <c r="F948" s="9" t="n">
        <v>44293</v>
      </c>
      <c r="G948" s="1" t="s">
        <v>16</v>
      </c>
      <c r="H948" s="3" t="s">
        <v>17</v>
      </c>
      <c r="I948" s="3" t="s">
        <v>776</v>
      </c>
    </row>
    <row r="949" customFormat="false" ht="18.7" hidden="false" customHeight="true" outlineLevel="0" collapsed="false">
      <c r="A949" s="1" t="n">
        <v>948</v>
      </c>
      <c r="B949" s="7" t="str">
        <f aca="false">HYPERLINK("https://mncourtfraud.com/file/ADN-1.zip","ADN-1.zip")</f>
        <v>ADN-1.zip</v>
      </c>
      <c r="C949" s="8" t="str">
        <f aca="false">HYPERLINK("https://mncourtfraud.com/file/27-CR-21-1978.pdf","27-CR-21-1978")</f>
        <v>27-CR-21-1978</v>
      </c>
      <c r="D949" s="3" t="s">
        <v>775</v>
      </c>
      <c r="E949" s="8" t="str">
        <f aca="false">HYPERLINK("https://mncourtfraud.com/file/MCRO_27-CR-21-1978_Demand or Request for Discovery_2021-04-07_20240430075736.pdf","MCRO_27-CR-21-1978_Demand or Request for Discovery_2021-04-07_20240430075736.pdf")</f>
        <v>MCRO_27-CR-21-1978_Demand or Request for Discovery_2021-04-07_20240430075736.pdf</v>
      </c>
      <c r="F949" s="9" t="n">
        <v>44293</v>
      </c>
      <c r="G949" s="1" t="s">
        <v>16</v>
      </c>
      <c r="H949" s="3" t="s">
        <v>17</v>
      </c>
      <c r="I949" s="3" t="s">
        <v>777</v>
      </c>
    </row>
    <row r="950" customFormat="false" ht="18.7" hidden="false" customHeight="true" outlineLevel="0" collapsed="false">
      <c r="A950" s="1" t="n">
        <v>949</v>
      </c>
      <c r="F950" s="9"/>
    </row>
    <row r="951" customFormat="false" ht="18.7" hidden="false" customHeight="true" outlineLevel="0" collapsed="false">
      <c r="A951" s="1" t="n">
        <v>950</v>
      </c>
      <c r="B951" s="7" t="str">
        <f aca="false">HYPERLINK("https://mncourtfraud.com/file/ADN-2.zip","ADN-2.zip")</f>
        <v>ADN-2.zip</v>
      </c>
      <c r="C951" s="8" t="str">
        <f aca="false">HYPERLINK("https://mncourtfraud.com/file/27-CR-21-1977.pdf","27-CR-21-1977")</f>
        <v>27-CR-21-1977</v>
      </c>
      <c r="D951" s="3" t="s">
        <v>775</v>
      </c>
      <c r="E951" s="8" t="str">
        <f aca="false">HYPERLINK("https://mncourtfraud.com/file/MCRO_27-CR-21-1977_Order for Conditional Release_2021-04-06_20240430075628.pdf","MCRO_27-CR-21-1977_Order for Conditional Release_2021-04-06_20240430075628.pdf")</f>
        <v>MCRO_27-CR-21-1977_Order for Conditional Release_2021-04-06_20240430075628.pdf</v>
      </c>
      <c r="F951" s="9" t="n">
        <v>44292</v>
      </c>
      <c r="G951" s="1" t="s">
        <v>778</v>
      </c>
      <c r="H951" s="3" t="s">
        <v>779</v>
      </c>
      <c r="I951" s="3" t="s">
        <v>780</v>
      </c>
      <c r="J951" s="3" t="s">
        <v>781</v>
      </c>
      <c r="K951" s="1" t="s">
        <v>782</v>
      </c>
      <c r="L951" s="3" t="s">
        <v>783</v>
      </c>
    </row>
    <row r="952" customFormat="false" ht="18.7" hidden="false" customHeight="true" outlineLevel="0" collapsed="false">
      <c r="A952" s="1" t="n">
        <v>951</v>
      </c>
      <c r="B952" s="7" t="str">
        <f aca="false">HYPERLINK("https://mncourtfraud.com/file/ADN-2.zip","ADN-2.zip")</f>
        <v>ADN-2.zip</v>
      </c>
      <c r="C952" s="8" t="str">
        <f aca="false">HYPERLINK("https://mncourtfraud.com/file/27-CR-21-1978.pdf","27-CR-21-1978")</f>
        <v>27-CR-21-1978</v>
      </c>
      <c r="D952" s="3" t="s">
        <v>775</v>
      </c>
      <c r="E952" s="8" t="str">
        <f aca="false">HYPERLINK("https://mncourtfraud.com/file/MCRO_27-CR-21-1978_Order for Conditional Release_2021-04-06_20240430075738.pdf","MCRO_27-CR-21-1978_Order for Conditional Release_2021-04-06_20240430075738.pdf")</f>
        <v>MCRO_27-CR-21-1978_Order for Conditional Release_2021-04-06_20240430075738.pdf</v>
      </c>
      <c r="F952" s="9" t="n">
        <v>44292</v>
      </c>
      <c r="G952" s="1" t="s">
        <v>778</v>
      </c>
      <c r="H952" s="3" t="s">
        <v>779</v>
      </c>
      <c r="I952" s="3" t="s">
        <v>780</v>
      </c>
      <c r="J952" s="3" t="s">
        <v>781</v>
      </c>
      <c r="K952" s="1" t="s">
        <v>782</v>
      </c>
      <c r="L952" s="3" t="s">
        <v>783</v>
      </c>
    </row>
    <row r="953" customFormat="false" ht="18.7" hidden="false" customHeight="true" outlineLevel="0" collapsed="false">
      <c r="A953" s="1" t="n">
        <v>952</v>
      </c>
      <c r="F953" s="9"/>
    </row>
    <row r="954" customFormat="false" ht="18.7" hidden="false" customHeight="true" outlineLevel="0" collapsed="false">
      <c r="A954" s="1" t="n">
        <v>953</v>
      </c>
      <c r="B954" s="7" t="str">
        <f aca="false">HYPERLINK("https://mncourtfraud.com/file/ADN-3.zip","ADN-3.zip")</f>
        <v>ADN-3.zip</v>
      </c>
      <c r="C954" s="8" t="str">
        <f aca="false">HYPERLINK("https://mncourtfraud.com/file/27-CR-21-1977.pdf","27-CR-21-1977")</f>
        <v>27-CR-21-1977</v>
      </c>
      <c r="D954" s="3" t="s">
        <v>775</v>
      </c>
      <c r="E954" s="8" t="str">
        <f aca="false">HYPERLINK("https://mncourtfraud.com/file/MCRO_27-CR-21-1977_Notice of Remote Hearing with Instructions_2021-04-06_20240430075627.pdf","MCRO_27-CR-21-1977_Notice of Remote Hearing with Instructions_2021-04-06_20240430075627.pdf")</f>
        <v>MCRO_27-CR-21-1977_Notice of Remote Hearing with Instructions_2021-04-06_20240430075627.pdf</v>
      </c>
      <c r="F954" s="9" t="n">
        <v>44292</v>
      </c>
      <c r="G954" s="1" t="s">
        <v>784</v>
      </c>
      <c r="H954" s="3" t="s">
        <v>785</v>
      </c>
      <c r="I954" s="3" t="s">
        <v>786</v>
      </c>
    </row>
    <row r="955" customFormat="false" ht="18.7" hidden="false" customHeight="true" outlineLevel="0" collapsed="false">
      <c r="A955" s="1" t="n">
        <v>954</v>
      </c>
      <c r="B955" s="7" t="str">
        <f aca="false">HYPERLINK("https://mncourtfraud.com/file/ADN-3.zip","ADN-3.zip")</f>
        <v>ADN-3.zip</v>
      </c>
      <c r="C955" s="8" t="str">
        <f aca="false">HYPERLINK("https://mncourtfraud.com/file/27-CR-21-1978.pdf","27-CR-21-1978")</f>
        <v>27-CR-21-1978</v>
      </c>
      <c r="D955" s="3" t="s">
        <v>775</v>
      </c>
      <c r="E955" s="8" t="str">
        <f aca="false">HYPERLINK("https://mncourtfraud.com/file/MCRO_27-CR-21-1978_Notice of Remote Hearing with Instructions_2021-04-06_20240430075737.pdf","MCRO_27-CR-21-1978_Notice of Remote Hearing with Instructions_2021-04-06_20240430075737.pdf")</f>
        <v>MCRO_27-CR-21-1978_Notice of Remote Hearing with Instructions_2021-04-06_20240430075737.pdf</v>
      </c>
      <c r="F955" s="9" t="n">
        <v>44292</v>
      </c>
      <c r="G955" s="1" t="s">
        <v>784</v>
      </c>
      <c r="H955" s="3" t="s">
        <v>785</v>
      </c>
      <c r="I955" s="3" t="s">
        <v>786</v>
      </c>
    </row>
    <row r="956" customFormat="false" ht="18.7" hidden="false" customHeight="true" outlineLevel="0" collapsed="false">
      <c r="A956" s="1" t="n">
        <v>955</v>
      </c>
      <c r="F956" s="9"/>
    </row>
    <row r="957" customFormat="false" ht="18.7" hidden="false" customHeight="true" outlineLevel="0" collapsed="false">
      <c r="A957" s="1" t="n">
        <v>956</v>
      </c>
      <c r="B957" s="7" t="str">
        <f aca="false">HYPERLINK("https://mncourtfraud.com/file/ADN-4.zip","ADN-4.zip")</f>
        <v>ADN-4.zip</v>
      </c>
      <c r="C957" s="8" t="str">
        <f aca="false">HYPERLINK("https://mncourtfraud.com/file/27-CR-21-1977.pdf","27-CR-21-1977")</f>
        <v>27-CR-21-1977</v>
      </c>
      <c r="D957" s="3" t="s">
        <v>775</v>
      </c>
      <c r="E957" s="8" t="str">
        <f aca="false">HYPERLINK("https://mncourtfraud.com/file/MCRO_27-CR-21-1977_Notice of Remote Hearing with Instructions_2021-07-21_20240430075624.pdf","MCRO_27-CR-21-1977_Notice of Remote Hearing with Instructions_2021-07-21_20240430075624.pdf")</f>
        <v>MCRO_27-CR-21-1977_Notice of Remote Hearing with Instructions_2021-07-21_20240430075624.pdf</v>
      </c>
      <c r="F957" s="9" t="n">
        <v>44398</v>
      </c>
      <c r="G957" s="1" t="s">
        <v>787</v>
      </c>
      <c r="H957" s="3" t="s">
        <v>788</v>
      </c>
      <c r="I957" s="3" t="s">
        <v>789</v>
      </c>
    </row>
    <row r="958" customFormat="false" ht="18.7" hidden="false" customHeight="true" outlineLevel="0" collapsed="false">
      <c r="A958" s="1" t="n">
        <v>957</v>
      </c>
      <c r="B958" s="7" t="str">
        <f aca="false">HYPERLINK("https://mncourtfraud.com/file/ADN-4.zip","ADN-4.zip")</f>
        <v>ADN-4.zip</v>
      </c>
      <c r="C958" s="8" t="str">
        <f aca="false">HYPERLINK("https://mncourtfraud.com/file/27-CR-21-1978.pdf","27-CR-21-1978")</f>
        <v>27-CR-21-1978</v>
      </c>
      <c r="D958" s="3" t="s">
        <v>775</v>
      </c>
      <c r="E958" s="8" t="str">
        <f aca="false">HYPERLINK("https://mncourtfraud.com/file/MCRO_27-CR-21-1978_Notice of Remote Hearing with Instructions_2021-07-21_20240430075733.pdf","MCRO_27-CR-21-1978_Notice of Remote Hearing with Instructions_2021-07-21_20240430075733.pdf")</f>
        <v>MCRO_27-CR-21-1978_Notice of Remote Hearing with Instructions_2021-07-21_20240430075733.pdf</v>
      </c>
      <c r="F958" s="9" t="n">
        <v>44398</v>
      </c>
      <c r="G958" s="1" t="s">
        <v>787</v>
      </c>
      <c r="H958" s="3" t="s">
        <v>788</v>
      </c>
      <c r="I958" s="3" t="s">
        <v>789</v>
      </c>
    </row>
    <row r="959" customFormat="false" ht="18.7" hidden="false" customHeight="true" outlineLevel="0" collapsed="false">
      <c r="A959" s="1" t="n">
        <v>958</v>
      </c>
      <c r="F959" s="9"/>
    </row>
    <row r="960" customFormat="false" ht="18.7" hidden="false" customHeight="true" outlineLevel="0" collapsed="false">
      <c r="A960" s="1" t="n">
        <v>959</v>
      </c>
      <c r="B960" s="7" t="str">
        <f aca="false">HYPERLINK("https://mncourtfraud.com/file/ADN-5.zip","ADN-5.zip")</f>
        <v>ADN-5.zip</v>
      </c>
      <c r="C960" s="8" t="str">
        <f aca="false">HYPERLINK("https://mncourtfraud.com/file/27-CR-21-1977.pdf","27-CR-21-1977")</f>
        <v>27-CR-21-1977</v>
      </c>
      <c r="D960" s="3" t="s">
        <v>775</v>
      </c>
      <c r="E960" s="8" t="str">
        <f aca="false">HYPERLINK("https://mncourtfraud.com/file/MCRO_27-CR-21-1977_Notice of Remote Hearing with Instructions_2021-11-23_20240430075622.pdf","MCRO_27-CR-21-1977_Notice of Remote Hearing with Instructions_2021-11-23_20240430075622.pdf")</f>
        <v>MCRO_27-CR-21-1977_Notice of Remote Hearing with Instructions_2021-11-23_20240430075622.pdf</v>
      </c>
      <c r="F960" s="9" t="n">
        <v>44523</v>
      </c>
      <c r="G960" s="1" t="s">
        <v>790</v>
      </c>
      <c r="H960" s="3" t="s">
        <v>791</v>
      </c>
      <c r="I960" s="3" t="s">
        <v>792</v>
      </c>
    </row>
    <row r="961" customFormat="false" ht="18.7" hidden="false" customHeight="true" outlineLevel="0" collapsed="false">
      <c r="A961" s="1" t="n">
        <v>960</v>
      </c>
      <c r="B961" s="7" t="str">
        <f aca="false">HYPERLINK("https://mncourtfraud.com/file/ADN-5.zip","ADN-5.zip")</f>
        <v>ADN-5.zip</v>
      </c>
      <c r="C961" s="8" t="str">
        <f aca="false">HYPERLINK("https://mncourtfraud.com/file/27-CR-21-1978.pdf","27-CR-21-1978")</f>
        <v>27-CR-21-1978</v>
      </c>
      <c r="D961" s="3" t="s">
        <v>775</v>
      </c>
      <c r="E961" s="8" t="str">
        <f aca="false">HYPERLINK("https://mncourtfraud.com/file/MCRO_27-CR-21-1978_Notice of Remote Hearing with Instructions_2021-11-23_20240430075731.pdf","MCRO_27-CR-21-1978_Notice of Remote Hearing with Instructions_2021-11-23_20240430075731.pdf")</f>
        <v>MCRO_27-CR-21-1978_Notice of Remote Hearing with Instructions_2021-11-23_20240430075731.pdf</v>
      </c>
      <c r="F961" s="9" t="n">
        <v>44523</v>
      </c>
      <c r="G961" s="1" t="s">
        <v>790</v>
      </c>
      <c r="H961" s="3" t="s">
        <v>791</v>
      </c>
      <c r="I961" s="3" t="s">
        <v>792</v>
      </c>
    </row>
    <row r="962" customFormat="false" ht="18.7" hidden="false" customHeight="true" outlineLevel="0" collapsed="false">
      <c r="A962" s="1" t="n">
        <v>961</v>
      </c>
      <c r="F962" s="9"/>
    </row>
    <row r="963" customFormat="false" ht="18.7" hidden="false" customHeight="true" outlineLevel="0" collapsed="false">
      <c r="A963" s="1" t="n">
        <v>962</v>
      </c>
      <c r="B963" s="7" t="str">
        <f aca="false">HYPERLINK("https://mncourtfraud.com/file/ADN-6.zip","ADN-6.zip")</f>
        <v>ADN-6.zip</v>
      </c>
      <c r="C963" s="8" t="str">
        <f aca="false">HYPERLINK("https://mncourtfraud.com/file/27-CR-21-1977.pdf","27-CR-21-1977")</f>
        <v>27-CR-21-1977</v>
      </c>
      <c r="D963" s="3" t="s">
        <v>775</v>
      </c>
      <c r="E963" s="8" t="str">
        <f aca="false">HYPERLINK("https://mncourtfraud.com/file/MCRO_27-CR-21-1977_Notice of Remote Hearing with Instructions_2022-02-10_20240430075620.pdf","MCRO_27-CR-21-1977_Notice of Remote Hearing with Instructions_2022-02-10_20240430075620.pdf")</f>
        <v>MCRO_27-CR-21-1977_Notice of Remote Hearing with Instructions_2022-02-10_20240430075620.pdf</v>
      </c>
      <c r="F963" s="9" t="n">
        <v>44602</v>
      </c>
      <c r="G963" s="1" t="s">
        <v>793</v>
      </c>
      <c r="H963" s="3" t="s">
        <v>794</v>
      </c>
      <c r="I963" s="3" t="s">
        <v>795</v>
      </c>
    </row>
    <row r="964" customFormat="false" ht="18.7" hidden="false" customHeight="true" outlineLevel="0" collapsed="false">
      <c r="A964" s="1" t="n">
        <v>963</v>
      </c>
      <c r="B964" s="7" t="str">
        <f aca="false">HYPERLINK("https://mncourtfraud.com/file/ADN-6.zip","ADN-6.zip")</f>
        <v>ADN-6.zip</v>
      </c>
      <c r="C964" s="8" t="str">
        <f aca="false">HYPERLINK("https://mncourtfraud.com/file/27-CR-21-1978.pdf","27-CR-21-1978")</f>
        <v>27-CR-21-1978</v>
      </c>
      <c r="D964" s="3" t="s">
        <v>775</v>
      </c>
      <c r="E964" s="8" t="str">
        <f aca="false">HYPERLINK("https://mncourtfraud.com/file/MCRO_27-CR-21-1978_Notice of Remote Hearing with Instructions_2022-02-10_20240430075729.pdf","MCRO_27-CR-21-1978_Notice of Remote Hearing with Instructions_2022-02-10_20240430075729.pdf")</f>
        <v>MCRO_27-CR-21-1978_Notice of Remote Hearing with Instructions_2022-02-10_20240430075729.pdf</v>
      </c>
      <c r="F964" s="9" t="n">
        <v>44602</v>
      </c>
      <c r="G964" s="1" t="s">
        <v>793</v>
      </c>
      <c r="H964" s="3" t="s">
        <v>794</v>
      </c>
      <c r="I964" s="3" t="s">
        <v>795</v>
      </c>
    </row>
    <row r="965" customFormat="false" ht="18.7" hidden="false" customHeight="true" outlineLevel="0" collapsed="false">
      <c r="A965" s="1" t="n">
        <v>964</v>
      </c>
      <c r="B965" s="7" t="str">
        <f aca="false">HYPERLINK("https://mncourtfraud.com/file/ADN-6.zip","ADN-6.zip")</f>
        <v>ADN-6.zip</v>
      </c>
      <c r="C965" s="8" t="str">
        <f aca="false">HYPERLINK("https://mncourtfraud.com/file/27-CR-20-3244.pdf","27-CR-20-3244")</f>
        <v>27-CR-20-3244</v>
      </c>
      <c r="D965" s="3" t="s">
        <v>796</v>
      </c>
      <c r="E965" s="8" t="str">
        <f aca="false">HYPERLINK("https://mncourtfraud.com/file/MCRO_27-CR-20-3244_Notice of Remote Hearing with Instructions_2022-02-10_20240430085026.pdf","MCRO_27-CR-20-3244_Notice of Remote Hearing with Instructions_2022-02-10_20240430085026.pdf")</f>
        <v>MCRO_27-CR-20-3244_Notice of Remote Hearing with Instructions_2022-02-10_20240430085026.pdf</v>
      </c>
      <c r="F965" s="9" t="n">
        <v>44602</v>
      </c>
      <c r="G965" s="1" t="s">
        <v>793</v>
      </c>
      <c r="H965" s="3" t="s">
        <v>794</v>
      </c>
      <c r="I965" s="3" t="s">
        <v>795</v>
      </c>
    </row>
    <row r="966" customFormat="false" ht="18.7" hidden="false" customHeight="true" outlineLevel="0" collapsed="false">
      <c r="A966" s="1" t="n">
        <v>965</v>
      </c>
      <c r="F966" s="9"/>
    </row>
    <row r="967" customFormat="false" ht="18.7" hidden="false" customHeight="true" outlineLevel="0" collapsed="false">
      <c r="A967" s="1" t="n">
        <v>966</v>
      </c>
      <c r="B967" s="7" t="str">
        <f aca="false">HYPERLINK("https://mncourtfraud.com/file/ADN-7.zip","ADN-7.zip")</f>
        <v>ADN-7.zip</v>
      </c>
      <c r="C967" s="8" t="str">
        <f aca="false">HYPERLINK("https://mncourtfraud.com/file/27-CR-21-1977.pdf","27-CR-21-1977")</f>
        <v>27-CR-21-1977</v>
      </c>
      <c r="D967" s="3" t="s">
        <v>775</v>
      </c>
      <c r="E967" s="8" t="str">
        <f aca="false">HYPERLINK("https://mncourtfraud.com/file/MCRO_27-CR-21-1977_Notice of Remote Hearing with Instructions_2022-03-14_20240430075618.pdf","MCRO_27-CR-21-1977_Notice of Remote Hearing with Instructions_2022-03-14_20240430075618.pdf")</f>
        <v>MCRO_27-CR-21-1977_Notice of Remote Hearing with Instructions_2022-03-14_20240430075618.pdf</v>
      </c>
      <c r="F967" s="9" t="n">
        <v>44634</v>
      </c>
      <c r="G967" s="1" t="s">
        <v>797</v>
      </c>
      <c r="H967" s="3" t="s">
        <v>798</v>
      </c>
      <c r="I967" s="3" t="s">
        <v>799</v>
      </c>
    </row>
    <row r="968" customFormat="false" ht="18.7" hidden="false" customHeight="true" outlineLevel="0" collapsed="false">
      <c r="A968" s="1" t="n">
        <v>967</v>
      </c>
      <c r="B968" s="7" t="str">
        <f aca="false">HYPERLINK("https://mncourtfraud.com/file/ADN-7.zip","ADN-7.zip")</f>
        <v>ADN-7.zip</v>
      </c>
      <c r="C968" s="8" t="str">
        <f aca="false">HYPERLINK("https://mncourtfraud.com/file/27-CR-21-1978.pdf","27-CR-21-1978")</f>
        <v>27-CR-21-1978</v>
      </c>
      <c r="D968" s="3" t="s">
        <v>775</v>
      </c>
      <c r="E968" s="8" t="str">
        <f aca="false">HYPERLINK("https://mncourtfraud.com/file/MCRO_27-CR-21-1978_Notice of Remote Hearing with Instructions_2022-03-14_20240430075727.pdf","MCRO_27-CR-21-1978_Notice of Remote Hearing with Instructions_2022-03-14_20240430075727.pdf")</f>
        <v>MCRO_27-CR-21-1978_Notice of Remote Hearing with Instructions_2022-03-14_20240430075727.pdf</v>
      </c>
      <c r="F968" s="9" t="n">
        <v>44634</v>
      </c>
      <c r="G968" s="1" t="s">
        <v>797</v>
      </c>
      <c r="H968" s="3" t="s">
        <v>798</v>
      </c>
      <c r="I968" s="3" t="s">
        <v>799</v>
      </c>
    </row>
    <row r="969" customFormat="false" ht="18.7" hidden="false" customHeight="true" outlineLevel="0" collapsed="false">
      <c r="A969" s="1" t="n">
        <v>968</v>
      </c>
      <c r="B969" s="7" t="str">
        <f aca="false">HYPERLINK("https://mncourtfraud.com/file/ADN-7.zip","ADN-7.zip")</f>
        <v>ADN-7.zip</v>
      </c>
      <c r="C969" s="8" t="str">
        <f aca="false">HYPERLINK("https://mncourtfraud.com/file/27-CR-20-3244.pdf","27-CR-20-3244")</f>
        <v>27-CR-20-3244</v>
      </c>
      <c r="D969" s="3" t="s">
        <v>796</v>
      </c>
      <c r="E969" s="8" t="str">
        <f aca="false">HYPERLINK("https://mncourtfraud.com/file/MCRO_27-CR-20-3244_Notice of Remote Hearing with Instructions_2022-03-14_20240430085024.pdf","MCRO_27-CR-20-3244_Notice of Remote Hearing with Instructions_2022-03-14_20240430085024.pdf")</f>
        <v>MCRO_27-CR-20-3244_Notice of Remote Hearing with Instructions_2022-03-14_20240430085024.pdf</v>
      </c>
      <c r="F969" s="9" t="n">
        <v>44634</v>
      </c>
      <c r="G969" s="1" t="s">
        <v>797</v>
      </c>
      <c r="H969" s="3" t="s">
        <v>798</v>
      </c>
      <c r="I969" s="3" t="s">
        <v>799</v>
      </c>
    </row>
    <row r="970" customFormat="false" ht="18.7" hidden="false" customHeight="true" outlineLevel="0" collapsed="false">
      <c r="A970" s="1" t="n">
        <v>969</v>
      </c>
      <c r="F970" s="9"/>
    </row>
    <row r="971" customFormat="false" ht="18.7" hidden="false" customHeight="true" outlineLevel="0" collapsed="false">
      <c r="A971" s="1" t="n">
        <v>970</v>
      </c>
      <c r="B971" s="7" t="str">
        <f aca="false">HYPERLINK("https://mncourtfraud.com/file/ADN-8.zip","ADN-8.zip")</f>
        <v>ADN-8.zip</v>
      </c>
      <c r="C971" s="8" t="str">
        <f aca="false">HYPERLINK("https://mncourtfraud.com/file/27-CR-21-1977.pdf","27-CR-21-1977")</f>
        <v>27-CR-21-1977</v>
      </c>
      <c r="D971" s="3" t="s">
        <v>775</v>
      </c>
      <c r="E971" s="8" t="str">
        <f aca="false">HYPERLINK("https://mncourtfraud.com/file/MCRO_27-CR-21-1977_Notice of Remote Hearing with Instructions_2022-03-23_20240430075615.pdf","MCRO_27-CR-21-1977_Notice of Remote Hearing with Instructions_2022-03-23_20240430075615.pdf")</f>
        <v>MCRO_27-CR-21-1977_Notice of Remote Hearing with Instructions_2022-03-23_20240430075615.pdf</v>
      </c>
      <c r="F971" s="9" t="n">
        <v>44643</v>
      </c>
      <c r="G971" s="1" t="s">
        <v>800</v>
      </c>
      <c r="H971" s="3" t="s">
        <v>801</v>
      </c>
      <c r="I971" s="3" t="s">
        <v>802</v>
      </c>
    </row>
    <row r="972" customFormat="false" ht="18.7" hidden="false" customHeight="true" outlineLevel="0" collapsed="false">
      <c r="A972" s="1" t="n">
        <v>971</v>
      </c>
      <c r="B972" s="7" t="str">
        <f aca="false">HYPERLINK("https://mncourtfraud.com/file/ADN-8.zip","ADN-8.zip")</f>
        <v>ADN-8.zip</v>
      </c>
      <c r="C972" s="8" t="str">
        <f aca="false">HYPERLINK("https://mncourtfraud.com/file/27-CR-21-1978.pdf","27-CR-21-1978")</f>
        <v>27-CR-21-1978</v>
      </c>
      <c r="D972" s="3" t="s">
        <v>775</v>
      </c>
      <c r="E972" s="8" t="str">
        <f aca="false">HYPERLINK("https://mncourtfraud.com/file/MCRO_27-CR-21-1978_Notice of Remote Hearing with Instructions_2022-03-23_20240430075725.pdf","MCRO_27-CR-21-1978_Notice of Remote Hearing with Instructions_2022-03-23_20240430075725.pdf")</f>
        <v>MCRO_27-CR-21-1978_Notice of Remote Hearing with Instructions_2022-03-23_20240430075725.pdf</v>
      </c>
      <c r="F972" s="9" t="n">
        <v>44643</v>
      </c>
      <c r="G972" s="1" t="s">
        <v>800</v>
      </c>
      <c r="H972" s="3" t="s">
        <v>801</v>
      </c>
      <c r="I972" s="3" t="s">
        <v>802</v>
      </c>
    </row>
    <row r="973" customFormat="false" ht="18.7" hidden="false" customHeight="true" outlineLevel="0" collapsed="false">
      <c r="A973" s="1" t="n">
        <v>972</v>
      </c>
      <c r="B973" s="7" t="str">
        <f aca="false">HYPERLINK("https://mncourtfraud.com/file/ADN-8.zip","ADN-8.zip")</f>
        <v>ADN-8.zip</v>
      </c>
      <c r="C973" s="8" t="str">
        <f aca="false">HYPERLINK("https://mncourtfraud.com/file/27-CR-20-3244.pdf","27-CR-20-3244")</f>
        <v>27-CR-20-3244</v>
      </c>
      <c r="D973" s="3" t="s">
        <v>796</v>
      </c>
      <c r="E973" s="8" t="str">
        <f aca="false">HYPERLINK("https://mncourtfraud.com/file/MCRO_27-CR-20-3244_Notice of Remote Hearing with Instructions_2022-03-23_20240430085022.pdf","MCRO_27-CR-20-3244_Notice of Remote Hearing with Instructions_2022-03-23_20240430085022.pdf")</f>
        <v>MCRO_27-CR-20-3244_Notice of Remote Hearing with Instructions_2022-03-23_20240430085022.pdf</v>
      </c>
      <c r="F973" s="9" t="n">
        <v>44643</v>
      </c>
      <c r="G973" s="1" t="s">
        <v>800</v>
      </c>
      <c r="H973" s="3" t="s">
        <v>801</v>
      </c>
      <c r="I973" s="3" t="s">
        <v>802</v>
      </c>
    </row>
    <row r="974" customFormat="false" ht="18.7" hidden="false" customHeight="true" outlineLevel="0" collapsed="false">
      <c r="A974" s="1" t="n">
        <v>973</v>
      </c>
      <c r="F974" s="9"/>
    </row>
    <row r="975" customFormat="false" ht="18.7" hidden="false" customHeight="true" outlineLevel="0" collapsed="false">
      <c r="A975" s="1" t="n">
        <v>974</v>
      </c>
      <c r="B975" s="7" t="str">
        <f aca="false">HYPERLINK("https://mncourtfraud.com/file/ADN-9.zip","ADN-9.zip")</f>
        <v>ADN-9.zip</v>
      </c>
      <c r="C975" s="8" t="str">
        <f aca="false">HYPERLINK("https://mncourtfraud.com/file/27-CR-21-1977.pdf","27-CR-21-1977")</f>
        <v>27-CR-21-1977</v>
      </c>
      <c r="D975" s="3" t="s">
        <v>775</v>
      </c>
      <c r="E975" s="8" t="str">
        <f aca="false">HYPERLINK("https://mncourtfraud.com/file/MCRO_27-CR-21-1977_Notice of Remote Hearing with Instructions_2022-04-11_20240430075614.pdf","MCRO_27-CR-21-1977_Notice of Remote Hearing with Instructions_2022-04-11_20240430075614.pdf")</f>
        <v>MCRO_27-CR-21-1977_Notice of Remote Hearing with Instructions_2022-04-11_20240430075614.pdf</v>
      </c>
      <c r="F975" s="9" t="n">
        <v>44662</v>
      </c>
      <c r="G975" s="1" t="s">
        <v>803</v>
      </c>
      <c r="H975" s="3" t="s">
        <v>804</v>
      </c>
      <c r="I975" s="3" t="s">
        <v>805</v>
      </c>
    </row>
    <row r="976" customFormat="false" ht="18.7" hidden="false" customHeight="true" outlineLevel="0" collapsed="false">
      <c r="A976" s="1" t="n">
        <v>975</v>
      </c>
      <c r="B976" s="7" t="str">
        <f aca="false">HYPERLINK("https://mncourtfraud.com/file/ADN-9.zip","ADN-9.zip")</f>
        <v>ADN-9.zip</v>
      </c>
      <c r="C976" s="8" t="str">
        <f aca="false">HYPERLINK("https://mncourtfraud.com/file/27-CR-21-1978.pdf","27-CR-21-1978")</f>
        <v>27-CR-21-1978</v>
      </c>
      <c r="D976" s="3" t="s">
        <v>775</v>
      </c>
      <c r="E976" s="8" t="str">
        <f aca="false">HYPERLINK("https://mncourtfraud.com/file/MCRO_27-CR-21-1978_Notice of Remote Hearing with Instructions_2022-04-11_20240430075724.pdf","MCRO_27-CR-21-1978_Notice of Remote Hearing with Instructions_2022-04-11_20240430075724.pdf")</f>
        <v>MCRO_27-CR-21-1978_Notice of Remote Hearing with Instructions_2022-04-11_20240430075724.pdf</v>
      </c>
      <c r="F976" s="9" t="n">
        <v>44662</v>
      </c>
      <c r="G976" s="1" t="s">
        <v>803</v>
      </c>
      <c r="H976" s="3" t="s">
        <v>804</v>
      </c>
      <c r="I976" s="3" t="s">
        <v>805</v>
      </c>
    </row>
    <row r="977" customFormat="false" ht="18.7" hidden="false" customHeight="true" outlineLevel="0" collapsed="false">
      <c r="A977" s="1" t="n">
        <v>976</v>
      </c>
      <c r="B977" s="7" t="str">
        <f aca="false">HYPERLINK("https://mncourtfraud.com/file/ADN-9.zip","ADN-9.zip")</f>
        <v>ADN-9.zip</v>
      </c>
      <c r="C977" s="8" t="str">
        <f aca="false">HYPERLINK("https://mncourtfraud.com/file/27-CR-20-3244.pdf","27-CR-20-3244")</f>
        <v>27-CR-20-3244</v>
      </c>
      <c r="D977" s="3" t="s">
        <v>796</v>
      </c>
      <c r="E977" s="8" t="str">
        <f aca="false">HYPERLINK("https://mncourtfraud.com/file/MCRO_27-CR-20-3244_Notice of Remote Hearing with Instructions_2022-04-11_20240430085021.pdf","MCRO_27-CR-20-3244_Notice of Remote Hearing with Instructions_2022-04-11_20240430085021.pdf")</f>
        <v>MCRO_27-CR-20-3244_Notice of Remote Hearing with Instructions_2022-04-11_20240430085021.pdf</v>
      </c>
      <c r="F977" s="9" t="n">
        <v>44662</v>
      </c>
      <c r="G977" s="1" t="s">
        <v>803</v>
      </c>
      <c r="H977" s="3" t="s">
        <v>804</v>
      </c>
      <c r="I977" s="3" t="s">
        <v>805</v>
      </c>
    </row>
    <row r="978" customFormat="false" ht="18.7" hidden="false" customHeight="true" outlineLevel="0" collapsed="false">
      <c r="A978" s="1" t="n">
        <v>977</v>
      </c>
      <c r="F978" s="9"/>
    </row>
    <row r="979" customFormat="false" ht="18.7" hidden="false" customHeight="true" outlineLevel="0" collapsed="false">
      <c r="A979" s="1" t="n">
        <v>978</v>
      </c>
      <c r="B979" s="7" t="str">
        <f aca="false">HYPERLINK("https://mncourtfraud.com/file/ADN-10.zip","ADN-10.zip")</f>
        <v>ADN-10.zip</v>
      </c>
      <c r="C979" s="8" t="str">
        <f aca="false">HYPERLINK("https://mncourtfraud.com/file/27-CR-21-1978.pdf","27-CR-21-1978")</f>
        <v>27-CR-21-1978</v>
      </c>
      <c r="D979" s="3" t="s">
        <v>775</v>
      </c>
      <c r="E979" s="8" t="str">
        <f aca="false">HYPERLINK("https://mncourtfraud.com/file/MCRO_27-CR-21-1978_Returned Mail_2022-04-27_20240430075723.pdf","MCRO_27-CR-21-1978_Returned Mail_2022-04-27_20240430075723.pdf")</f>
        <v>MCRO_27-CR-21-1978_Returned Mail_2022-04-27_20240430075723.pdf</v>
      </c>
      <c r="F979" s="9" t="n">
        <v>44678</v>
      </c>
      <c r="G979" s="1" t="s">
        <v>806</v>
      </c>
      <c r="H979" s="3" t="s">
        <v>807</v>
      </c>
      <c r="I979" s="3" t="s">
        <v>808</v>
      </c>
    </row>
    <row r="980" customFormat="false" ht="18.7" hidden="false" customHeight="true" outlineLevel="0" collapsed="false">
      <c r="A980" s="1" t="n">
        <v>979</v>
      </c>
      <c r="B980" s="7" t="str">
        <f aca="false">HYPERLINK("https://mncourtfraud.com/file/ADN-10.zip","ADN-10.zip")</f>
        <v>ADN-10.zip</v>
      </c>
      <c r="C980" s="8" t="str">
        <f aca="false">HYPERLINK("https://mncourtfraud.com/file/27-CR-20-3244.pdf","27-CR-20-3244")</f>
        <v>27-CR-20-3244</v>
      </c>
      <c r="D980" s="3" t="s">
        <v>796</v>
      </c>
      <c r="E980" s="8" t="str">
        <f aca="false">HYPERLINK("https://mncourtfraud.com/file/MCRO_27-CR-20-3244_Returned Mail_2022-04-27_20240430085019.pdf","MCRO_27-CR-20-3244_Returned Mail_2022-04-27_20240430085019.pdf")</f>
        <v>MCRO_27-CR-20-3244_Returned Mail_2022-04-27_20240430085019.pdf</v>
      </c>
      <c r="F980" s="9" t="n">
        <v>44678</v>
      </c>
      <c r="G980" s="1" t="s">
        <v>806</v>
      </c>
      <c r="H980" s="3" t="s">
        <v>807</v>
      </c>
      <c r="I980" s="3" t="s">
        <v>808</v>
      </c>
    </row>
    <row r="981" customFormat="false" ht="18.7" hidden="false" customHeight="true" outlineLevel="0" collapsed="false">
      <c r="A981" s="1" t="n">
        <v>980</v>
      </c>
      <c r="F981" s="9"/>
    </row>
    <row r="982" customFormat="false" ht="18.7" hidden="false" customHeight="true" outlineLevel="0" collapsed="false">
      <c r="A982" s="1" t="n">
        <v>981</v>
      </c>
      <c r="B982" s="7" t="str">
        <f aca="false">HYPERLINK("https://mncourtfraud.com/file/ADN-11.zip","ADN-11.zip")</f>
        <v>ADN-11.zip</v>
      </c>
      <c r="C982" s="8" t="str">
        <f aca="false">HYPERLINK("https://mncourtfraud.com/file/27-CR-21-1977.pdf","27-CR-21-1977")</f>
        <v>27-CR-21-1977</v>
      </c>
      <c r="D982" s="3" t="s">
        <v>775</v>
      </c>
      <c r="E982" s="8" t="str">
        <f aca="false">HYPERLINK("https://mncourtfraud.com/file/MCRO_27-CR-21-1977_Notice of Remote Hearing with Instructions_2022-06-22_20240430075612.pdf","MCRO_27-CR-21-1977_Notice of Remote Hearing with Instructions_2022-06-22_20240430075612.pdf")</f>
        <v>MCRO_27-CR-21-1977_Notice of Remote Hearing with Instructions_2022-06-22_20240430075612.pdf</v>
      </c>
      <c r="F982" s="9" t="n">
        <v>44734</v>
      </c>
      <c r="G982" s="1" t="s">
        <v>809</v>
      </c>
      <c r="H982" s="3" t="s">
        <v>810</v>
      </c>
      <c r="I982" s="3" t="s">
        <v>811</v>
      </c>
    </row>
    <row r="983" customFormat="false" ht="18.7" hidden="false" customHeight="true" outlineLevel="0" collapsed="false">
      <c r="A983" s="1" t="n">
        <v>982</v>
      </c>
      <c r="B983" s="7" t="str">
        <f aca="false">HYPERLINK("https://mncourtfraud.com/file/ADN-11.zip","ADN-11.zip")</f>
        <v>ADN-11.zip</v>
      </c>
      <c r="C983" s="8" t="str">
        <f aca="false">HYPERLINK("https://mncourtfraud.com/file/27-CR-21-1978.pdf","27-CR-21-1978")</f>
        <v>27-CR-21-1978</v>
      </c>
      <c r="D983" s="3" t="s">
        <v>775</v>
      </c>
      <c r="E983" s="8" t="str">
        <f aca="false">HYPERLINK("https://mncourtfraud.com/file/MCRO_27-CR-21-1978_Notice of Remote Hearing with Instructions_2022-06-22_20240430075722.pdf","MCRO_27-CR-21-1978_Notice of Remote Hearing with Instructions_2022-06-22_20240430075722.pdf")</f>
        <v>MCRO_27-CR-21-1978_Notice of Remote Hearing with Instructions_2022-06-22_20240430075722.pdf</v>
      </c>
      <c r="F983" s="9" t="n">
        <v>44734</v>
      </c>
      <c r="G983" s="1" t="s">
        <v>809</v>
      </c>
      <c r="H983" s="3" t="s">
        <v>810</v>
      </c>
      <c r="I983" s="3" t="s">
        <v>811</v>
      </c>
    </row>
    <row r="984" customFormat="false" ht="18.7" hidden="false" customHeight="true" outlineLevel="0" collapsed="false">
      <c r="A984" s="1" t="n">
        <v>983</v>
      </c>
      <c r="B984" s="7" t="str">
        <f aca="false">HYPERLINK("https://mncourtfraud.com/file/ADN-11.zip","ADN-11.zip")</f>
        <v>ADN-11.zip</v>
      </c>
      <c r="C984" s="8" t="str">
        <f aca="false">HYPERLINK("https://mncourtfraud.com/file/27-CR-20-3244.pdf","27-CR-20-3244")</f>
        <v>27-CR-20-3244</v>
      </c>
      <c r="D984" s="3" t="s">
        <v>796</v>
      </c>
      <c r="E984" s="8" t="str">
        <f aca="false">HYPERLINK("https://mncourtfraud.com/file/MCRO_27-CR-20-3244_Notice of Remote Hearing with Instructions_2022-06-22_20240430085019.pdf","MCRO_27-CR-20-3244_Notice of Remote Hearing with Instructions_2022-06-22_20240430085019.pdf")</f>
        <v>MCRO_27-CR-20-3244_Notice of Remote Hearing with Instructions_2022-06-22_20240430085019.pdf</v>
      </c>
      <c r="F984" s="9" t="n">
        <v>44734</v>
      </c>
      <c r="G984" s="1" t="s">
        <v>809</v>
      </c>
      <c r="H984" s="3" t="s">
        <v>810</v>
      </c>
      <c r="I984" s="3" t="s">
        <v>811</v>
      </c>
    </row>
    <row r="985" customFormat="false" ht="18.7" hidden="false" customHeight="true" outlineLevel="0" collapsed="false">
      <c r="A985" s="1" t="n">
        <v>984</v>
      </c>
      <c r="F985" s="9"/>
    </row>
    <row r="986" customFormat="false" ht="18.7" hidden="false" customHeight="true" outlineLevel="0" collapsed="false">
      <c r="A986" s="1" t="n">
        <v>985</v>
      </c>
      <c r="B986" s="7" t="str">
        <f aca="false">HYPERLINK("https://mncourtfraud.com/file/ADN-12.zip","ADN-12.zip")</f>
        <v>ADN-12.zip</v>
      </c>
      <c r="C986" s="8" t="str">
        <f aca="false">HYPERLINK("https://mncourtfraud.com/file/27-CR-21-1977.pdf","27-CR-21-1977")</f>
        <v>27-CR-21-1977</v>
      </c>
      <c r="D986" s="3" t="s">
        <v>775</v>
      </c>
      <c r="E986" s="8" t="str">
        <f aca="false">HYPERLINK("https://mncourtfraud.com/file/MCRO_27-CR-21-1977_Notice of Hearing_2022-09-06_20240430075608.pdf","MCRO_27-CR-21-1977_Notice of Hearing_2022-09-06_20240430075608.pdf")</f>
        <v>MCRO_27-CR-21-1977_Notice of Hearing_2022-09-06_20240430075608.pdf</v>
      </c>
      <c r="F986" s="9" t="n">
        <v>44810</v>
      </c>
      <c r="G986" s="1" t="s">
        <v>812</v>
      </c>
      <c r="H986" s="3" t="s">
        <v>813</v>
      </c>
      <c r="I986" s="3" t="s">
        <v>814</v>
      </c>
    </row>
    <row r="987" customFormat="false" ht="18.7" hidden="false" customHeight="true" outlineLevel="0" collapsed="false">
      <c r="A987" s="1" t="n">
        <v>986</v>
      </c>
      <c r="B987" s="7" t="str">
        <f aca="false">HYPERLINK("https://mncourtfraud.com/file/ADN-12.zip","ADN-12.zip")</f>
        <v>ADN-12.zip</v>
      </c>
      <c r="C987" s="8" t="str">
        <f aca="false">HYPERLINK("https://mncourtfraud.com/file/27-CR-21-1978.pdf","27-CR-21-1978")</f>
        <v>27-CR-21-1978</v>
      </c>
      <c r="D987" s="3" t="s">
        <v>775</v>
      </c>
      <c r="E987" s="8" t="str">
        <f aca="false">HYPERLINK("https://mncourtfraud.com/file/MCRO_27-CR-21-1978_Notice of Hearing_2022-09-06_20240430075720.pdf","MCRO_27-CR-21-1978_Notice of Hearing_2022-09-06_20240430075720.pdf")</f>
        <v>MCRO_27-CR-21-1978_Notice of Hearing_2022-09-06_20240430075720.pdf</v>
      </c>
      <c r="F987" s="9" t="n">
        <v>44810</v>
      </c>
      <c r="G987" s="1" t="s">
        <v>812</v>
      </c>
      <c r="H987" s="3" t="s">
        <v>813</v>
      </c>
      <c r="I987" s="3" t="s">
        <v>814</v>
      </c>
    </row>
    <row r="988" customFormat="false" ht="18.7" hidden="false" customHeight="true" outlineLevel="0" collapsed="false">
      <c r="A988" s="1" t="n">
        <v>987</v>
      </c>
      <c r="B988" s="7" t="str">
        <f aca="false">HYPERLINK("https://mncourtfraud.com/file/ADN-12.zip","ADN-12.zip")</f>
        <v>ADN-12.zip</v>
      </c>
      <c r="C988" s="8" t="str">
        <f aca="false">HYPERLINK("https://mncourtfraud.com/file/27-CR-20-3244.pdf","27-CR-20-3244")</f>
        <v>27-CR-20-3244</v>
      </c>
      <c r="D988" s="3" t="s">
        <v>796</v>
      </c>
      <c r="E988" s="8" t="str">
        <f aca="false">HYPERLINK("https://mncourtfraud.com/file/MCRO_27-CR-20-3244_Notice of Hearing_2022-09-06_20240430085016.pdf","MCRO_27-CR-20-3244_Notice of Hearing_2022-09-06_20240430085016.pdf")</f>
        <v>MCRO_27-CR-20-3244_Notice of Hearing_2022-09-06_20240430085016.pdf</v>
      </c>
      <c r="F988" s="9" t="n">
        <v>44810</v>
      </c>
      <c r="G988" s="1" t="s">
        <v>812</v>
      </c>
      <c r="H988" s="3" t="s">
        <v>813</v>
      </c>
      <c r="I988" s="3" t="s">
        <v>814</v>
      </c>
    </row>
    <row r="989" customFormat="false" ht="18.7" hidden="false" customHeight="true" outlineLevel="0" collapsed="false">
      <c r="A989" s="1" t="n">
        <v>988</v>
      </c>
      <c r="F989" s="9"/>
    </row>
    <row r="990" customFormat="false" ht="18.7" hidden="false" customHeight="true" outlineLevel="0" collapsed="false">
      <c r="A990" s="1" t="n">
        <v>989</v>
      </c>
      <c r="B990" s="7" t="str">
        <f aca="false">HYPERLINK("https://mncourtfraud.com/file/ADN-13.zip","ADN-13.zip")</f>
        <v>ADN-13.zip</v>
      </c>
      <c r="C990" s="8" t="str">
        <f aca="false">HYPERLINK("https://mncourtfraud.com/file/27-CR-21-1978.pdf","27-CR-21-1978")</f>
        <v>27-CR-21-1978</v>
      </c>
      <c r="D990" s="3" t="s">
        <v>775</v>
      </c>
      <c r="E990" s="8" t="str">
        <f aca="false">HYPERLINK("https://mncourtfraud.com/file/MCRO_27-CR-21-1978_Returned Mail_2022-09-09_20240430075719.pdf","MCRO_27-CR-21-1978_Returned Mail_2022-09-09_20240430075719.pdf")</f>
        <v>MCRO_27-CR-21-1978_Returned Mail_2022-09-09_20240430075719.pdf</v>
      </c>
      <c r="F990" s="9" t="n">
        <v>44813</v>
      </c>
      <c r="G990" s="1" t="s">
        <v>815</v>
      </c>
      <c r="H990" s="3" t="s">
        <v>816</v>
      </c>
      <c r="I990" s="3" t="s">
        <v>817</v>
      </c>
    </row>
    <row r="991" customFormat="false" ht="18.7" hidden="false" customHeight="true" outlineLevel="0" collapsed="false">
      <c r="A991" s="1" t="n">
        <v>990</v>
      </c>
      <c r="B991" s="7" t="str">
        <f aca="false">HYPERLINK("https://mncourtfraud.com/file/ADN-13.zip","ADN-13.zip")</f>
        <v>ADN-13.zip</v>
      </c>
      <c r="C991" s="8" t="str">
        <f aca="false">HYPERLINK("https://mncourtfraud.com/file/27-CR-20-3244.pdf","27-CR-20-3244")</f>
        <v>27-CR-20-3244</v>
      </c>
      <c r="D991" s="3" t="s">
        <v>796</v>
      </c>
      <c r="E991" s="8" t="str">
        <f aca="false">HYPERLINK("https://mncourtfraud.com/file/MCRO_27-CR-20-3244_Returned Mail_2022-09-09_20240430085015.pdf","MCRO_27-CR-20-3244_Returned Mail_2022-09-09_20240430085015.pdf")</f>
        <v>MCRO_27-CR-20-3244_Returned Mail_2022-09-09_20240430085015.pdf</v>
      </c>
      <c r="F991" s="9" t="n">
        <v>44813</v>
      </c>
      <c r="G991" s="1" t="s">
        <v>815</v>
      </c>
      <c r="H991" s="3" t="s">
        <v>816</v>
      </c>
      <c r="I991" s="3" t="s">
        <v>817</v>
      </c>
    </row>
    <row r="992" customFormat="false" ht="18.7" hidden="false" customHeight="true" outlineLevel="0" collapsed="false">
      <c r="A992" s="1" t="n">
        <v>991</v>
      </c>
      <c r="F992" s="9"/>
    </row>
    <row r="993" customFormat="false" ht="18.7" hidden="false" customHeight="true" outlineLevel="0" collapsed="false">
      <c r="A993" s="1" t="n">
        <v>992</v>
      </c>
      <c r="B993" s="7" t="str">
        <f aca="false">HYPERLINK("https://mncourtfraud.com/file/ADN-14.zip","ADN-14.zip")</f>
        <v>ADN-14.zip</v>
      </c>
      <c r="C993" s="8" t="str">
        <f aca="false">HYPERLINK("https://mncourtfraud.com/file/27-CR-21-1977.pdf","27-CR-21-1977")</f>
        <v>27-CR-21-1977</v>
      </c>
      <c r="D993" s="3" t="s">
        <v>775</v>
      </c>
      <c r="E993" s="8" t="str">
        <f aca="false">HYPERLINK("https://mncourtfraud.com/file/MCRO_27-CR-21-1977_Notice of Hearing_2022-09-23_20240430075606.pdf","MCRO_27-CR-21-1977_Notice of Hearing_2022-09-23_20240430075606.pdf")</f>
        <v>MCRO_27-CR-21-1977_Notice of Hearing_2022-09-23_20240430075606.pdf</v>
      </c>
      <c r="F993" s="9" t="n">
        <v>44827</v>
      </c>
      <c r="G993" s="1" t="s">
        <v>818</v>
      </c>
      <c r="H993" s="3" t="s">
        <v>819</v>
      </c>
      <c r="I993" s="3" t="s">
        <v>820</v>
      </c>
    </row>
    <row r="994" customFormat="false" ht="18.7" hidden="false" customHeight="true" outlineLevel="0" collapsed="false">
      <c r="A994" s="1" t="n">
        <v>993</v>
      </c>
      <c r="B994" s="7" t="str">
        <f aca="false">HYPERLINK("https://mncourtfraud.com/file/ADN-14.zip","ADN-14.zip")</f>
        <v>ADN-14.zip</v>
      </c>
      <c r="C994" s="8" t="str">
        <f aca="false">HYPERLINK("https://mncourtfraud.com/file/27-CR-21-1978.pdf","27-CR-21-1978")</f>
        <v>27-CR-21-1978</v>
      </c>
      <c r="D994" s="3" t="s">
        <v>775</v>
      </c>
      <c r="E994" s="8" t="str">
        <f aca="false">HYPERLINK("https://mncourtfraud.com/file/MCRO_27-CR-21-1978_Notice of Hearing_2022-09-23_20240430075718.pdf","MCRO_27-CR-21-1978_Notice of Hearing_2022-09-23_20240430075718.pdf")</f>
        <v>MCRO_27-CR-21-1978_Notice of Hearing_2022-09-23_20240430075718.pdf</v>
      </c>
      <c r="F994" s="9" t="n">
        <v>44827</v>
      </c>
      <c r="G994" s="1" t="s">
        <v>818</v>
      </c>
      <c r="H994" s="3" t="s">
        <v>819</v>
      </c>
      <c r="I994" s="3" t="s">
        <v>821</v>
      </c>
    </row>
    <row r="995" customFormat="false" ht="18.7" hidden="false" customHeight="true" outlineLevel="0" collapsed="false">
      <c r="A995" s="1" t="n">
        <v>994</v>
      </c>
      <c r="B995" s="7" t="str">
        <f aca="false">HYPERLINK("https://mncourtfraud.com/file/ADN-14.zip","ADN-14.zip")</f>
        <v>ADN-14.zip</v>
      </c>
      <c r="C995" s="8" t="str">
        <f aca="false">HYPERLINK("https://mncourtfraud.com/file/27-CR-20-3244.pdf","27-CR-20-3244")</f>
        <v>27-CR-20-3244</v>
      </c>
      <c r="D995" s="3" t="s">
        <v>796</v>
      </c>
      <c r="E995" s="8" t="str">
        <f aca="false">HYPERLINK("https://mncourtfraud.com/file/MCRO_27-CR-20-3244_Notice of Hearing_2022-09-23_20240430085014.pdf","MCRO_27-CR-20-3244_Notice of Hearing_2022-09-23_20240430085014.pdf")</f>
        <v>MCRO_27-CR-20-3244_Notice of Hearing_2022-09-23_20240430085014.pdf</v>
      </c>
      <c r="F995" s="9" t="n">
        <v>44827</v>
      </c>
      <c r="G995" s="1" t="s">
        <v>818</v>
      </c>
      <c r="H995" s="3" t="s">
        <v>819</v>
      </c>
      <c r="I995" s="3" t="s">
        <v>821</v>
      </c>
    </row>
    <row r="996" customFormat="false" ht="18.7" hidden="false" customHeight="true" outlineLevel="0" collapsed="false">
      <c r="A996" s="1" t="n">
        <v>995</v>
      </c>
      <c r="F996" s="9"/>
    </row>
    <row r="997" customFormat="false" ht="18.7" hidden="false" customHeight="true" outlineLevel="0" collapsed="false">
      <c r="A997" s="1" t="n">
        <v>996</v>
      </c>
      <c r="B997" s="7" t="str">
        <f aca="false">HYPERLINK("https://mncourtfraud.com/file/ADN-15.zip","ADN-15.zip")</f>
        <v>ADN-15.zip</v>
      </c>
      <c r="C997" s="8" t="str">
        <f aca="false">HYPERLINK("https://mncourtfraud.com/file/27-CR-21-1977.pdf","27-CR-21-1977")</f>
        <v>27-CR-21-1977</v>
      </c>
      <c r="D997" s="3" t="s">
        <v>775</v>
      </c>
      <c r="E997" s="8" t="str">
        <f aca="false">HYPERLINK("https://mncourtfraud.com/file/MCRO_27-CR-21-1977_Notice of Hearing_2022-10-26_20240430075605.pdf","MCRO_27-CR-21-1977_Notice of Hearing_2022-10-26_20240430075605.pdf")</f>
        <v>MCRO_27-CR-21-1977_Notice of Hearing_2022-10-26_20240430075605.pdf</v>
      </c>
      <c r="F997" s="9" t="n">
        <v>44860</v>
      </c>
      <c r="G997" s="1" t="s">
        <v>822</v>
      </c>
      <c r="H997" s="3" t="s">
        <v>823</v>
      </c>
      <c r="I997" s="3" t="s">
        <v>824</v>
      </c>
    </row>
    <row r="998" customFormat="false" ht="18.7" hidden="false" customHeight="true" outlineLevel="0" collapsed="false">
      <c r="A998" s="1" t="n">
        <v>997</v>
      </c>
      <c r="B998" s="7" t="str">
        <f aca="false">HYPERLINK("https://mncourtfraud.com/file/ADN-15.zip","ADN-15.zip")</f>
        <v>ADN-15.zip</v>
      </c>
      <c r="C998" s="8" t="str">
        <f aca="false">HYPERLINK("https://mncourtfraud.com/file/27-CR-21-1978.pdf","27-CR-21-1978")</f>
        <v>27-CR-21-1978</v>
      </c>
      <c r="D998" s="3" t="s">
        <v>775</v>
      </c>
      <c r="E998" s="8" t="str">
        <f aca="false">HYPERLINK("https://mncourtfraud.com/file/MCRO_27-CR-21-1978_Notice of Hearing_2022-10-26_20240430075717.pdf","MCRO_27-CR-21-1978_Notice of Hearing_2022-10-26_20240430075717.pdf")</f>
        <v>MCRO_27-CR-21-1978_Notice of Hearing_2022-10-26_20240430075717.pdf</v>
      </c>
      <c r="F998" s="9" t="n">
        <v>44860</v>
      </c>
      <c r="G998" s="1" t="s">
        <v>822</v>
      </c>
      <c r="H998" s="3" t="s">
        <v>823</v>
      </c>
      <c r="I998" s="3" t="s">
        <v>824</v>
      </c>
    </row>
    <row r="999" customFormat="false" ht="18.7" hidden="false" customHeight="true" outlineLevel="0" collapsed="false">
      <c r="A999" s="1" t="n">
        <v>998</v>
      </c>
      <c r="B999" s="7" t="str">
        <f aca="false">HYPERLINK("https://mncourtfraud.com/file/ADN-15.zip","ADN-15.zip")</f>
        <v>ADN-15.zip</v>
      </c>
      <c r="C999" s="8" t="str">
        <f aca="false">HYPERLINK("https://mncourtfraud.com/file/27-CR-22-20033.pdf","27-CR-22-20033")</f>
        <v>27-CR-22-20033</v>
      </c>
      <c r="D999" s="3" t="s">
        <v>775</v>
      </c>
      <c r="E999" s="8" t="str">
        <f aca="false">HYPERLINK("https://mncourtfraud.com/file/MCRO_27-CR-22-20033_Notice of Hearing_2022-10-26_20240429162658.pdf","MCRO_27-CR-22-20033_Notice of Hearing_2022-10-26_20240429162658.pdf")</f>
        <v>MCRO_27-CR-22-20033_Notice of Hearing_2022-10-26_20240429162658.pdf</v>
      </c>
      <c r="F999" s="9" t="n">
        <v>44860</v>
      </c>
      <c r="G999" s="1" t="s">
        <v>822</v>
      </c>
      <c r="H999" s="3" t="s">
        <v>823</v>
      </c>
      <c r="I999" s="3" t="s">
        <v>824</v>
      </c>
    </row>
    <row r="1000" customFormat="false" ht="18.7" hidden="false" customHeight="true" outlineLevel="0" collapsed="false">
      <c r="A1000" s="1" t="n">
        <v>999</v>
      </c>
      <c r="B1000" s="7" t="str">
        <f aca="false">HYPERLINK("https://mncourtfraud.com/file/ADN-15.zip","ADN-15.zip")</f>
        <v>ADN-15.zip</v>
      </c>
      <c r="C1000" s="8" t="str">
        <f aca="false">HYPERLINK("https://mncourtfraud.com/file/27-CR-20-3244.pdf","27-CR-20-3244")</f>
        <v>27-CR-20-3244</v>
      </c>
      <c r="D1000" s="3" t="s">
        <v>796</v>
      </c>
      <c r="E1000" s="8" t="str">
        <f aca="false">HYPERLINK("https://mncourtfraud.com/file/MCRO_27-CR-20-3244_Notice of Hearing_2022-10-26_20240430085013.pdf","MCRO_27-CR-20-3244_Notice of Hearing_2022-10-26_20240430085013.pdf")</f>
        <v>MCRO_27-CR-20-3244_Notice of Hearing_2022-10-26_20240430085013.pdf</v>
      </c>
      <c r="F1000" s="9" t="n">
        <v>44860</v>
      </c>
      <c r="G1000" s="1" t="s">
        <v>822</v>
      </c>
      <c r="H1000" s="3" t="s">
        <v>823</v>
      </c>
      <c r="I1000" s="3" t="s">
        <v>824</v>
      </c>
    </row>
    <row r="1001" customFormat="false" ht="18.7" hidden="false" customHeight="true" outlineLevel="0" collapsed="false">
      <c r="A1001" s="1" t="n">
        <v>1000</v>
      </c>
      <c r="F1001" s="9"/>
    </row>
    <row r="1002" customFormat="false" ht="18.7" hidden="false" customHeight="true" outlineLevel="0" collapsed="false">
      <c r="A1002" s="1" t="n">
        <v>1001</v>
      </c>
      <c r="B1002" s="7" t="str">
        <f aca="false">HYPERLINK("https://mncourtfraud.com/file/ADN-16.zip","ADN-16.zip")</f>
        <v>ADN-16.zip</v>
      </c>
      <c r="C1002" s="8" t="str">
        <f aca="false">HYPERLINK("https://mncourtfraud.com/file/27-CR-21-1977.pdf","27-CR-21-1977")</f>
        <v>27-CR-21-1977</v>
      </c>
      <c r="D1002" s="3" t="s">
        <v>775</v>
      </c>
      <c r="E1002" s="8" t="str">
        <f aca="false">HYPERLINK("https://mncourtfraud.com/file/MCRO_27-CR-21-1977_Findings of Fact, Conclusions of Law and Order_2022-10-27_20240430075604.pdf","MCRO_27-CR-21-1977_Findings of Fact, Conclusions of Law and Order_2022-10-27_20240430075604.pdf")</f>
        <v>MCRO_27-CR-21-1977_Findings of Fact, Conclusions of Law and Order_2022-10-27_20240430075604.pdf</v>
      </c>
      <c r="F1002" s="9" t="n">
        <v>44861</v>
      </c>
      <c r="G1002" s="1" t="s">
        <v>825</v>
      </c>
      <c r="H1002" s="3" t="s">
        <v>826</v>
      </c>
      <c r="I1002" s="3" t="s">
        <v>827</v>
      </c>
    </row>
    <row r="1003" customFormat="false" ht="18.7" hidden="false" customHeight="true" outlineLevel="0" collapsed="false">
      <c r="A1003" s="1" t="n">
        <v>1002</v>
      </c>
      <c r="B1003" s="7" t="str">
        <f aca="false">HYPERLINK("https://mncourtfraud.com/file/ADN-16.zip","ADN-16.zip")</f>
        <v>ADN-16.zip</v>
      </c>
      <c r="C1003" s="8" t="str">
        <f aca="false">HYPERLINK("https://mncourtfraud.com/file/27-CR-21-1978.pdf","27-CR-21-1978")</f>
        <v>27-CR-21-1978</v>
      </c>
      <c r="D1003" s="3" t="s">
        <v>775</v>
      </c>
      <c r="E1003" s="8" t="str">
        <f aca="false">HYPERLINK("https://mncourtfraud.com/file/MCRO_27-CR-21-1978_Findings of Fact, Conclusions of Law and Order_2022-10-27_20240430075715.pdf","MCRO_27-CR-21-1978_Findings of Fact, Conclusions of Law and Order_2022-10-27_20240430075715.pdf")</f>
        <v>MCRO_27-CR-21-1978_Findings of Fact, Conclusions of Law and Order_2022-10-27_20240430075715.pdf</v>
      </c>
      <c r="F1003" s="9" t="n">
        <v>44861</v>
      </c>
      <c r="G1003" s="1" t="s">
        <v>825</v>
      </c>
      <c r="H1003" s="3" t="s">
        <v>826</v>
      </c>
      <c r="I1003" s="3" t="s">
        <v>828</v>
      </c>
    </row>
    <row r="1004" customFormat="false" ht="18.7" hidden="false" customHeight="true" outlineLevel="0" collapsed="false">
      <c r="A1004" s="1" t="n">
        <v>1003</v>
      </c>
      <c r="B1004" s="7" t="str">
        <f aca="false">HYPERLINK("https://mncourtfraud.com/file/ADN-16.zip","ADN-16.zip")</f>
        <v>ADN-16.zip</v>
      </c>
      <c r="C1004" s="8" t="str">
        <f aca="false">HYPERLINK("https://mncourtfraud.com/file/27-CR-22-20033.pdf","27-CR-22-20033")</f>
        <v>27-CR-22-20033</v>
      </c>
      <c r="D1004" s="3" t="s">
        <v>775</v>
      </c>
      <c r="E1004" s="8" t="str">
        <f aca="false">HYPERLINK("https://mncourtfraud.com/file/MCRO_27-CR-22-20033_Findings of Fact, Conclusions of Law and Order_2022-10-27_20240429162656.pdf","MCRO_27-CR-22-20033_Findings of Fact, Conclusions of Law and Order_2022-10-27_20240429162656.pdf")</f>
        <v>MCRO_27-CR-22-20033_Findings of Fact, Conclusions of Law and Order_2022-10-27_20240429162656.pdf</v>
      </c>
      <c r="F1004" s="9" t="n">
        <v>44861</v>
      </c>
      <c r="G1004" s="1" t="s">
        <v>825</v>
      </c>
      <c r="H1004" s="3" t="s">
        <v>826</v>
      </c>
      <c r="I1004" s="3" t="s">
        <v>829</v>
      </c>
    </row>
    <row r="1005" customFormat="false" ht="18.7" hidden="false" customHeight="true" outlineLevel="0" collapsed="false">
      <c r="A1005" s="1" t="n">
        <v>1004</v>
      </c>
      <c r="B1005" s="7" t="str">
        <f aca="false">HYPERLINK("https://mncourtfraud.com/file/ADN-16.zip","ADN-16.zip")</f>
        <v>ADN-16.zip</v>
      </c>
      <c r="C1005" s="8" t="str">
        <f aca="false">HYPERLINK("https://mncourtfraud.com/file/27-CR-20-3244.pdf","27-CR-20-3244")</f>
        <v>27-CR-20-3244</v>
      </c>
      <c r="D1005" s="3" t="s">
        <v>796</v>
      </c>
      <c r="E1005" s="8" t="str">
        <f aca="false">HYPERLINK("https://mncourtfraud.com/file/MCRO_27-CR-20-3244_Findings of Fact, Conclusions of Law and Order_2022-10-27_20240430085012.pdf","MCRO_27-CR-20-3244_Findings of Fact, Conclusions of Law and Order_2022-10-27_20240430085012.pdf")</f>
        <v>MCRO_27-CR-20-3244_Findings of Fact, Conclusions of Law and Order_2022-10-27_20240430085012.pdf</v>
      </c>
      <c r="F1005" s="9" t="n">
        <v>44861</v>
      </c>
      <c r="G1005" s="1" t="s">
        <v>825</v>
      </c>
      <c r="H1005" s="3" t="s">
        <v>826</v>
      </c>
      <c r="I1005" s="3" t="s">
        <v>830</v>
      </c>
    </row>
    <row r="1006" customFormat="false" ht="18.7" hidden="false" customHeight="true" outlineLevel="0" collapsed="false">
      <c r="A1006" s="1" t="n">
        <v>1005</v>
      </c>
      <c r="F1006" s="9"/>
    </row>
    <row r="1007" customFormat="false" ht="18.7" hidden="false" customHeight="true" outlineLevel="0" collapsed="false">
      <c r="A1007" s="1" t="n">
        <v>1006</v>
      </c>
      <c r="B1007" s="7" t="str">
        <f aca="false">HYPERLINK("https://mncourtfraud.com/file/ADN-17.zip","ADN-17.zip")</f>
        <v>ADN-17.zip</v>
      </c>
      <c r="C1007" s="8" t="str">
        <f aca="false">HYPERLINK("https://mncourtfraud.com/file/27-CR-21-1977.pdf","27-CR-21-1977")</f>
        <v>27-CR-21-1977</v>
      </c>
      <c r="D1007" s="3" t="s">
        <v>775</v>
      </c>
      <c r="E1007" s="8" t="str">
        <f aca="false">HYPERLINK("https://mncourtfraud.com/file/MCRO_27-CR-21-1977_Returned Mail_2022-11-01_20240430075603.pdf","MCRO_27-CR-21-1977_Returned Mail_2022-11-01_20240430075603.pdf")</f>
        <v>MCRO_27-CR-21-1977_Returned Mail_2022-11-01_20240430075603.pdf</v>
      </c>
      <c r="F1007" s="9" t="n">
        <v>44866</v>
      </c>
      <c r="G1007" s="1" t="s">
        <v>831</v>
      </c>
      <c r="H1007" s="3" t="s">
        <v>832</v>
      </c>
      <c r="I1007" s="3" t="s">
        <v>832</v>
      </c>
    </row>
    <row r="1008" customFormat="false" ht="18.7" hidden="false" customHeight="true" outlineLevel="0" collapsed="false">
      <c r="A1008" s="1" t="n">
        <v>1007</v>
      </c>
      <c r="B1008" s="7" t="str">
        <f aca="false">HYPERLINK("https://mncourtfraud.com/file/ADN-17.zip","ADN-17.zip")</f>
        <v>ADN-17.zip</v>
      </c>
      <c r="C1008" s="8" t="str">
        <f aca="false">HYPERLINK("https://mncourtfraud.com/file/27-CR-21-1978.pdf","27-CR-21-1978")</f>
        <v>27-CR-21-1978</v>
      </c>
      <c r="D1008" s="3" t="s">
        <v>775</v>
      </c>
      <c r="E1008" s="8" t="str">
        <f aca="false">HYPERLINK("https://mncourtfraud.com/file/MCRO_27-CR-21-1978_Returned Mail_2022-11-01_20240430075714.pdf","MCRO_27-CR-21-1978_Returned Mail_2022-11-01_20240430075714.pdf")</f>
        <v>MCRO_27-CR-21-1978_Returned Mail_2022-11-01_20240430075714.pdf</v>
      </c>
      <c r="F1008" s="9" t="n">
        <v>44866</v>
      </c>
      <c r="G1008" s="1" t="s">
        <v>831</v>
      </c>
      <c r="H1008" s="3" t="s">
        <v>832</v>
      </c>
      <c r="I1008" s="3" t="s">
        <v>833</v>
      </c>
    </row>
    <row r="1009" customFormat="false" ht="18.7" hidden="false" customHeight="true" outlineLevel="0" collapsed="false">
      <c r="A1009" s="1" t="n">
        <v>1008</v>
      </c>
      <c r="F1009" s="9"/>
    </row>
    <row r="1010" customFormat="false" ht="18.7" hidden="false" customHeight="true" outlineLevel="0" collapsed="false">
      <c r="A1010" s="1" t="n">
        <v>1009</v>
      </c>
      <c r="B1010" s="7" t="str">
        <f aca="false">HYPERLINK("https://mncourtfraud.com/file/ADN-18.zip","ADN-18.zip")</f>
        <v>ADN-18.zip</v>
      </c>
      <c r="C1010" s="8" t="str">
        <f aca="false">HYPERLINK("https://mncourtfraud.com/file/27-CR-21-1977.pdf","27-CR-21-1977")</f>
        <v>27-CR-21-1977</v>
      </c>
      <c r="D1010" s="3" t="s">
        <v>775</v>
      </c>
      <c r="E1010" s="8" t="str">
        <f aca="false">HYPERLINK("https://mncourtfraud.com/file/MCRO_27-CR-21-1977_Order-Evaluation for Competency to Proceed (Rule 20.01)_2022-11-17_20240430075602.pdf","MCRO_27-CR-21-1977_Order-Evaluation for Competency to Proceed (Rule 20.01)_2022-11-17_20240430075602.pdf")</f>
        <v>MCRO_27-CR-21-1977_Order-Evaluation for Competency to Proceed (Rule 20.01)_2022-11-17_20240430075602.pdf</v>
      </c>
      <c r="F1010" s="9" t="n">
        <v>44882</v>
      </c>
      <c r="G1010" s="1" t="s">
        <v>834</v>
      </c>
      <c r="H1010" s="3" t="s">
        <v>835</v>
      </c>
      <c r="I1010" s="3" t="s">
        <v>836</v>
      </c>
    </row>
    <row r="1011" customFormat="false" ht="18.7" hidden="false" customHeight="true" outlineLevel="0" collapsed="false">
      <c r="A1011" s="1" t="n">
        <v>1010</v>
      </c>
      <c r="B1011" s="7" t="str">
        <f aca="false">HYPERLINK("https://mncourtfraud.com/file/ADN-18.zip","ADN-18.zip")</f>
        <v>ADN-18.zip</v>
      </c>
      <c r="C1011" s="8" t="str">
        <f aca="false">HYPERLINK("https://mncourtfraud.com/file/27-CR-21-1978.pdf","27-CR-21-1978")</f>
        <v>27-CR-21-1978</v>
      </c>
      <c r="D1011" s="3" t="s">
        <v>775</v>
      </c>
      <c r="E1011" s="8" t="str">
        <f aca="false">HYPERLINK("https://mncourtfraud.com/file/MCRO_27-CR-21-1978_Order-Evaluation for Competency to Proceed (Rule 20.01)_2022-11-17_20240430075713.pdf","MCRO_27-CR-21-1978_Order-Evaluation for Competency to Proceed (Rule 20.01)_2022-11-17_20240430075713.pdf")</f>
        <v>MCRO_27-CR-21-1978_Order-Evaluation for Competency to Proceed (Rule 20.01)_2022-11-17_20240430075713.pdf</v>
      </c>
      <c r="F1011" s="9" t="n">
        <v>44882</v>
      </c>
      <c r="G1011" s="1" t="s">
        <v>834</v>
      </c>
      <c r="H1011" s="3" t="s">
        <v>835</v>
      </c>
      <c r="I1011" s="3" t="s">
        <v>836</v>
      </c>
    </row>
    <row r="1012" customFormat="false" ht="18.7" hidden="false" customHeight="true" outlineLevel="0" collapsed="false">
      <c r="A1012" s="1" t="n">
        <v>1011</v>
      </c>
      <c r="B1012" s="7" t="str">
        <f aca="false">HYPERLINK("https://mncourtfraud.com/file/ADN-18.zip","ADN-18.zip")</f>
        <v>ADN-18.zip</v>
      </c>
      <c r="C1012" s="8" t="str">
        <f aca="false">HYPERLINK("https://mncourtfraud.com/file/27-CR-22-20033.pdf","27-CR-22-20033")</f>
        <v>27-CR-22-20033</v>
      </c>
      <c r="D1012" s="3" t="s">
        <v>775</v>
      </c>
      <c r="E1012" s="8" t="str">
        <f aca="false">HYPERLINK("https://mncourtfraud.com/file/MCRO_27-CR-22-20033_Amended Order_2022-12-05_20240429162654.pdf","MCRO_27-CR-22-20033_Amended Order_2022-12-05_20240429162654.pdf")</f>
        <v>MCRO_27-CR-22-20033_Amended Order_2022-12-05_20240429162654.pdf</v>
      </c>
      <c r="F1012" s="9" t="n">
        <v>44900</v>
      </c>
      <c r="G1012" s="1" t="s">
        <v>834</v>
      </c>
      <c r="H1012" s="3" t="s">
        <v>835</v>
      </c>
      <c r="I1012" s="3" t="s">
        <v>837</v>
      </c>
    </row>
    <row r="1013" customFormat="false" ht="18.7" hidden="false" customHeight="true" outlineLevel="0" collapsed="false">
      <c r="A1013" s="1" t="n">
        <v>1012</v>
      </c>
      <c r="B1013" s="7" t="str">
        <f aca="false">HYPERLINK("https://mncourtfraud.com/file/ADN-18.zip","ADN-18.zip")</f>
        <v>ADN-18.zip</v>
      </c>
      <c r="C1013" s="8" t="str">
        <f aca="false">HYPERLINK("https://mncourtfraud.com/file/27-CR-22-20033.pdf","27-CR-22-20033")</f>
        <v>27-CR-22-20033</v>
      </c>
      <c r="D1013" s="3" t="s">
        <v>775</v>
      </c>
      <c r="E1013" s="8" t="str">
        <f aca="false">HYPERLINK("https://mncourtfraud.com/file/MCRO_27-CR-22-20033_Order-Evaluation for Competency to Proceed (Rule 20.01)_2022-11-17_20240429162655.pdf","MCRO_27-CR-22-20033_Order-Evaluation for Competency to Proceed (Rule 20.01)_2022-11-17_20240429162655.pdf")</f>
        <v>MCRO_27-CR-22-20033_Order-Evaluation for Competency to Proceed (Rule 20.01)_2022-11-17_20240429162655.pdf</v>
      </c>
      <c r="F1013" s="9" t="n">
        <v>44882</v>
      </c>
      <c r="G1013" s="1" t="s">
        <v>834</v>
      </c>
      <c r="H1013" s="3" t="s">
        <v>835</v>
      </c>
      <c r="I1013" s="3" t="s">
        <v>836</v>
      </c>
    </row>
    <row r="1014" customFormat="false" ht="18.7" hidden="false" customHeight="true" outlineLevel="0" collapsed="false">
      <c r="A1014" s="1" t="n">
        <v>1013</v>
      </c>
      <c r="B1014" s="7" t="str">
        <f aca="false">HYPERLINK("https://mncourtfraud.com/file/ADN-18.zip","ADN-18.zip")</f>
        <v>ADN-18.zip</v>
      </c>
      <c r="C1014" s="8" t="str">
        <f aca="false">HYPERLINK("https://mncourtfraud.com/file/27-CR-20-3244.pdf","27-CR-20-3244")</f>
        <v>27-CR-20-3244</v>
      </c>
      <c r="D1014" s="3" t="s">
        <v>796</v>
      </c>
      <c r="E1014" s="8" t="str">
        <f aca="false">HYPERLINK("https://mncourtfraud.com/file/MCRO_27-CR-20-3244_Order-Evaluation for Competency to Proceed (Rule 20.01)_2022-11-17_20240430085011.pdf","MCRO_27-CR-20-3244_Order-Evaluation for Competency to Proceed (Rule 20.01)_2022-11-17_20240430085011.pdf")</f>
        <v>MCRO_27-CR-20-3244_Order-Evaluation for Competency to Proceed (Rule 20.01)_2022-11-17_20240430085011.pdf</v>
      </c>
      <c r="F1014" s="9" t="n">
        <v>44882</v>
      </c>
      <c r="G1014" s="1" t="s">
        <v>834</v>
      </c>
      <c r="H1014" s="3" t="s">
        <v>835</v>
      </c>
      <c r="I1014" s="3" t="s">
        <v>836</v>
      </c>
    </row>
    <row r="1015" customFormat="false" ht="18.7" hidden="false" customHeight="true" outlineLevel="0" collapsed="false">
      <c r="A1015" s="1" t="n">
        <v>1014</v>
      </c>
      <c r="F1015" s="9"/>
    </row>
    <row r="1016" customFormat="false" ht="18.7" hidden="false" customHeight="true" outlineLevel="0" collapsed="false">
      <c r="A1016" s="1" t="n">
        <v>1015</v>
      </c>
      <c r="B1016" s="7" t="str">
        <f aca="false">HYPERLINK("https://mncourtfraud.com/file/ADN-19.zip","ADN-19.zip")</f>
        <v>ADN-19.zip</v>
      </c>
      <c r="C1016" s="8" t="str">
        <f aca="false">HYPERLINK("https://mncourtfraud.com/file/27-CR-21-1977.pdf","27-CR-21-1977")</f>
        <v>27-CR-21-1977</v>
      </c>
      <c r="D1016" s="3" t="s">
        <v>775</v>
      </c>
      <c r="E1016" s="8" t="str">
        <f aca="false">HYPERLINK("https://mncourtfraud.com/file/MCRO_27-CR-21-1977_Notice of Hearing_2023-03-23_20240430075601.pdf","MCRO_27-CR-21-1977_Notice of Hearing_2023-03-23_20240430075601.pdf")</f>
        <v>MCRO_27-CR-21-1977_Notice of Hearing_2023-03-23_20240430075601.pdf</v>
      </c>
      <c r="F1016" s="9" t="n">
        <v>45008</v>
      </c>
      <c r="G1016" s="1" t="s">
        <v>838</v>
      </c>
      <c r="H1016" s="3" t="s">
        <v>839</v>
      </c>
      <c r="I1016" s="3" t="s">
        <v>840</v>
      </c>
    </row>
    <row r="1017" customFormat="false" ht="18.7" hidden="false" customHeight="true" outlineLevel="0" collapsed="false">
      <c r="A1017" s="1" t="n">
        <v>1016</v>
      </c>
      <c r="B1017" s="7" t="str">
        <f aca="false">HYPERLINK("https://mncourtfraud.com/file/ADN-19.zip","ADN-19.zip")</f>
        <v>ADN-19.zip</v>
      </c>
      <c r="C1017" s="8" t="str">
        <f aca="false">HYPERLINK("https://mncourtfraud.com/file/27-CR-21-1978.pdf","27-CR-21-1978")</f>
        <v>27-CR-21-1978</v>
      </c>
      <c r="D1017" s="3" t="s">
        <v>775</v>
      </c>
      <c r="E1017" s="8" t="str">
        <f aca="false">HYPERLINK("https://mncourtfraud.com/file/MCRO_27-CR-21-1978_Notice of Hearing_2023-03-23_20240430075712.pdf","MCRO_27-CR-21-1978_Notice of Hearing_2023-03-23_20240430075712.pdf")</f>
        <v>MCRO_27-CR-21-1978_Notice of Hearing_2023-03-23_20240430075712.pdf</v>
      </c>
      <c r="F1017" s="9" t="n">
        <v>45008</v>
      </c>
      <c r="G1017" s="1" t="s">
        <v>838</v>
      </c>
      <c r="H1017" s="3" t="s">
        <v>839</v>
      </c>
      <c r="I1017" s="3" t="s">
        <v>840</v>
      </c>
    </row>
    <row r="1018" customFormat="false" ht="18.7" hidden="false" customHeight="true" outlineLevel="0" collapsed="false">
      <c r="A1018" s="1" t="n">
        <v>1017</v>
      </c>
      <c r="B1018" s="7" t="str">
        <f aca="false">HYPERLINK("https://mncourtfraud.com/file/ADN-19.zip","ADN-19.zip")</f>
        <v>ADN-19.zip</v>
      </c>
      <c r="C1018" s="8" t="str">
        <f aca="false">HYPERLINK("https://mncourtfraud.com/file/27-CR-22-20033.pdf","27-CR-22-20033")</f>
        <v>27-CR-22-20033</v>
      </c>
      <c r="D1018" s="3" t="s">
        <v>775</v>
      </c>
      <c r="E1018" s="8" t="str">
        <f aca="false">HYPERLINK("https://mncourtfraud.com/file/MCRO_27-CR-22-20033_Notice of Hearing_2023-03-23_20240429162652.pdf","MCRO_27-CR-22-20033_Notice of Hearing_2023-03-23_20240429162652.pdf")</f>
        <v>MCRO_27-CR-22-20033_Notice of Hearing_2023-03-23_20240429162652.pdf</v>
      </c>
      <c r="F1018" s="9" t="n">
        <v>45008</v>
      </c>
      <c r="G1018" s="1" t="s">
        <v>838</v>
      </c>
      <c r="H1018" s="3" t="s">
        <v>839</v>
      </c>
      <c r="I1018" s="3" t="s">
        <v>840</v>
      </c>
    </row>
    <row r="1019" customFormat="false" ht="18.7" hidden="false" customHeight="true" outlineLevel="0" collapsed="false">
      <c r="A1019" s="1" t="n">
        <v>1018</v>
      </c>
      <c r="B1019" s="7" t="str">
        <f aca="false">HYPERLINK("https://mncourtfraud.com/file/ADN-19.zip","ADN-19.zip")</f>
        <v>ADN-19.zip</v>
      </c>
      <c r="C1019" s="8" t="str">
        <f aca="false">HYPERLINK("https://mncourtfraud.com/file/27-CR-20-3244.pdf","27-CR-20-3244")</f>
        <v>27-CR-20-3244</v>
      </c>
      <c r="D1019" s="3" t="s">
        <v>796</v>
      </c>
      <c r="E1019" s="8" t="str">
        <f aca="false">HYPERLINK("https://mncourtfraud.com/file/MCRO_27-CR-20-3244_Notice of Hearing_2023-03-23_20240430085010.pdf","MCRO_27-CR-20-3244_Notice of Hearing_2023-03-23_20240430085010.pdf")</f>
        <v>MCRO_27-CR-20-3244_Notice of Hearing_2023-03-23_20240430085010.pdf</v>
      </c>
      <c r="F1019" s="9" t="n">
        <v>45008</v>
      </c>
      <c r="G1019" s="1" t="s">
        <v>838</v>
      </c>
      <c r="H1019" s="3" t="s">
        <v>839</v>
      </c>
      <c r="I1019" s="3" t="s">
        <v>840</v>
      </c>
    </row>
    <row r="1020" customFormat="false" ht="18.7" hidden="false" customHeight="true" outlineLevel="0" collapsed="false">
      <c r="A1020" s="1" t="n">
        <v>1019</v>
      </c>
      <c r="F1020" s="9"/>
    </row>
    <row r="1021" customFormat="false" ht="18.7" hidden="false" customHeight="true" outlineLevel="0" collapsed="false">
      <c r="A1021" s="1" t="n">
        <v>1020</v>
      </c>
      <c r="B1021" s="7" t="str">
        <f aca="false">HYPERLINK("https://mncourtfraud.com/file/ADN-20.zip","ADN-20.zip")</f>
        <v>ADN-20.zip</v>
      </c>
      <c r="C1021" s="8" t="str">
        <f aca="false">HYPERLINK("https://mncourtfraud.com/file/27-CR-21-1977.pdf","27-CR-21-1977")</f>
        <v>27-CR-21-1977</v>
      </c>
      <c r="D1021" s="3" t="s">
        <v>775</v>
      </c>
      <c r="E1021" s="8" t="str">
        <f aca="false">HYPERLINK("https://mncourtfraud.com/file/MCRO_27-CR-21-1977_Notice of Hearing_2023-04-05_20240430075600.pdf","MCRO_27-CR-21-1977_Notice of Hearing_2023-04-05_20240430075600.pdf")</f>
        <v>MCRO_27-CR-21-1977_Notice of Hearing_2023-04-05_20240430075600.pdf</v>
      </c>
      <c r="F1021" s="9" t="n">
        <v>45021</v>
      </c>
      <c r="G1021" s="1" t="s">
        <v>841</v>
      </c>
      <c r="H1021" s="3" t="s">
        <v>842</v>
      </c>
      <c r="I1021" s="3" t="s">
        <v>843</v>
      </c>
    </row>
    <row r="1022" customFormat="false" ht="18.7" hidden="false" customHeight="true" outlineLevel="0" collapsed="false">
      <c r="A1022" s="1" t="n">
        <v>1021</v>
      </c>
      <c r="B1022" s="7" t="str">
        <f aca="false">HYPERLINK("https://mncourtfraud.com/file/ADN-20.zip","ADN-20.zip")</f>
        <v>ADN-20.zip</v>
      </c>
      <c r="C1022" s="8" t="str">
        <f aca="false">HYPERLINK("https://mncourtfraud.com/file/27-CR-21-1978.pdf","27-CR-21-1978")</f>
        <v>27-CR-21-1978</v>
      </c>
      <c r="D1022" s="3" t="s">
        <v>775</v>
      </c>
      <c r="E1022" s="8" t="str">
        <f aca="false">HYPERLINK("https://mncourtfraud.com/file/MCRO_27-CR-21-1978_Notice of Hearing_2023-04-05_20240430075711.pdf","MCRO_27-CR-21-1978_Notice of Hearing_2023-04-05_20240430075711.pdf")</f>
        <v>MCRO_27-CR-21-1978_Notice of Hearing_2023-04-05_20240430075711.pdf</v>
      </c>
      <c r="F1022" s="9" t="n">
        <v>45021</v>
      </c>
      <c r="G1022" s="1" t="s">
        <v>841</v>
      </c>
      <c r="H1022" s="3" t="s">
        <v>842</v>
      </c>
      <c r="I1022" s="3" t="s">
        <v>843</v>
      </c>
    </row>
    <row r="1023" customFormat="false" ht="18.7" hidden="false" customHeight="true" outlineLevel="0" collapsed="false">
      <c r="A1023" s="1" t="n">
        <v>1022</v>
      </c>
      <c r="B1023" s="7" t="str">
        <f aca="false">HYPERLINK("https://mncourtfraud.com/file/ADN-20.zip","ADN-20.zip")</f>
        <v>ADN-20.zip</v>
      </c>
      <c r="C1023" s="8" t="str">
        <f aca="false">HYPERLINK("https://mncourtfraud.com/file/27-CR-22-20033.pdf","27-CR-22-20033")</f>
        <v>27-CR-22-20033</v>
      </c>
      <c r="D1023" s="3" t="s">
        <v>775</v>
      </c>
      <c r="E1023" s="8" t="str">
        <f aca="false">HYPERLINK("https://mncourtfraud.com/file/MCRO_27-CR-22-20033_Notice of Hearing_2023-04-05_20240429162651.pdf","MCRO_27-CR-22-20033_Notice of Hearing_2023-04-05_20240429162651.pdf")</f>
        <v>MCRO_27-CR-22-20033_Notice of Hearing_2023-04-05_20240429162651.pdf</v>
      </c>
      <c r="F1023" s="9" t="n">
        <v>45021</v>
      </c>
      <c r="G1023" s="1" t="s">
        <v>841</v>
      </c>
      <c r="H1023" s="3" t="s">
        <v>842</v>
      </c>
      <c r="I1023" s="3" t="s">
        <v>843</v>
      </c>
    </row>
    <row r="1024" customFormat="false" ht="18.7" hidden="false" customHeight="true" outlineLevel="0" collapsed="false">
      <c r="A1024" s="1" t="n">
        <v>1023</v>
      </c>
      <c r="B1024" s="7" t="str">
        <f aca="false">HYPERLINK("https://mncourtfraud.com/file/ADN-20.zip","ADN-20.zip")</f>
        <v>ADN-20.zip</v>
      </c>
      <c r="C1024" s="8" t="str">
        <f aca="false">HYPERLINK("https://mncourtfraud.com/file/27-CR-20-3244.pdf","27-CR-20-3244")</f>
        <v>27-CR-20-3244</v>
      </c>
      <c r="D1024" s="3" t="s">
        <v>796</v>
      </c>
      <c r="E1024" s="8" t="str">
        <f aca="false">HYPERLINK("https://mncourtfraud.com/file/MCRO_27-CR-20-3244_Notice of Hearing_2023-04-05_20240430085009.pdf","MCRO_27-CR-20-3244_Notice of Hearing_2023-04-05_20240430085009.pdf")</f>
        <v>MCRO_27-CR-20-3244_Notice of Hearing_2023-04-05_20240430085009.pdf</v>
      </c>
      <c r="F1024" s="9" t="n">
        <v>45021</v>
      </c>
      <c r="G1024" s="1" t="s">
        <v>841</v>
      </c>
      <c r="H1024" s="3" t="s">
        <v>842</v>
      </c>
      <c r="I1024" s="3" t="s">
        <v>843</v>
      </c>
    </row>
    <row r="1025" customFormat="false" ht="18.7" hidden="false" customHeight="true" outlineLevel="0" collapsed="false">
      <c r="A1025" s="1" t="n">
        <v>1024</v>
      </c>
      <c r="F1025" s="9"/>
    </row>
    <row r="1026" customFormat="false" ht="18.7" hidden="false" customHeight="true" outlineLevel="0" collapsed="false">
      <c r="A1026" s="1" t="n">
        <v>1025</v>
      </c>
      <c r="B1026" s="7" t="str">
        <f aca="false">HYPERLINK("https://mncourtfraud.com/file/ADN-21.zip","ADN-21.zip")</f>
        <v>ADN-21.zip</v>
      </c>
      <c r="C1026" s="8" t="str">
        <f aca="false">HYPERLINK("https://mncourtfraud.com/file/27-CR-21-1977.pdf","27-CR-21-1977")</f>
        <v>27-CR-21-1977</v>
      </c>
      <c r="D1026" s="3" t="s">
        <v>775</v>
      </c>
      <c r="E1026" s="8" t="str">
        <f aca="false">HYPERLINK("https://mncourtfraud.com/file/MCRO_27-CR-21-1977_Returned Mail_2023-05-18_20240430075557.pdf","MCRO_27-CR-21-1977_Returned Mail_2023-05-18_20240430075557.pdf")</f>
        <v>MCRO_27-CR-21-1977_Returned Mail_2023-05-18_20240430075557.pdf</v>
      </c>
      <c r="F1026" s="9" t="n">
        <v>45064</v>
      </c>
      <c r="G1026" s="1" t="s">
        <v>844</v>
      </c>
      <c r="H1026" s="3" t="s">
        <v>845</v>
      </c>
      <c r="I1026" s="3" t="s">
        <v>846</v>
      </c>
    </row>
    <row r="1027" customFormat="false" ht="18.7" hidden="false" customHeight="true" outlineLevel="0" collapsed="false">
      <c r="A1027" s="1" t="n">
        <v>1026</v>
      </c>
      <c r="B1027" s="7" t="str">
        <f aca="false">HYPERLINK("https://mncourtfraud.com/file/ADN-21.zip","ADN-21.zip")</f>
        <v>ADN-21.zip</v>
      </c>
      <c r="C1027" s="8" t="str">
        <f aca="false">HYPERLINK("https://mncourtfraud.com/file/27-CR-21-1978.pdf","27-CR-21-1978")</f>
        <v>27-CR-21-1978</v>
      </c>
      <c r="D1027" s="3" t="s">
        <v>775</v>
      </c>
      <c r="E1027" s="8" t="str">
        <f aca="false">HYPERLINK("https://mncourtfraud.com/file/MCRO_27-CR-21-1978_Returned Mail_2023-05-18_20240430075710.pdf","MCRO_27-CR-21-1978_Returned Mail_2023-05-18_20240430075710.pdf")</f>
        <v>MCRO_27-CR-21-1978_Returned Mail_2023-05-18_20240430075710.pdf</v>
      </c>
      <c r="F1027" s="9" t="n">
        <v>45064</v>
      </c>
      <c r="G1027" s="1" t="s">
        <v>844</v>
      </c>
      <c r="H1027" s="3" t="s">
        <v>845</v>
      </c>
      <c r="I1027" s="3" t="s">
        <v>846</v>
      </c>
    </row>
    <row r="1028" customFormat="false" ht="18.7" hidden="false" customHeight="true" outlineLevel="0" collapsed="false">
      <c r="A1028" s="1" t="n">
        <v>1027</v>
      </c>
      <c r="B1028" s="7" t="str">
        <f aca="false">HYPERLINK("https://mncourtfraud.com/file/ADN-21.zip","ADN-21.zip")</f>
        <v>ADN-21.zip</v>
      </c>
      <c r="C1028" s="8" t="str">
        <f aca="false">HYPERLINK("https://mncourtfraud.com/file/27-CR-20-3244.pdf","27-CR-20-3244")</f>
        <v>27-CR-20-3244</v>
      </c>
      <c r="D1028" s="3" t="s">
        <v>796</v>
      </c>
      <c r="E1028" s="8" t="str">
        <f aca="false">HYPERLINK("https://mncourtfraud.com/file/MCRO_27-CR-20-3244_Returned Mail_2023-05-18_20240430085008.pdf","MCRO_27-CR-20-3244_Returned Mail_2023-05-18_20240430085008.pdf")</f>
        <v>MCRO_27-CR-20-3244_Returned Mail_2023-05-18_20240430085008.pdf</v>
      </c>
      <c r="F1028" s="9" t="n">
        <v>45064</v>
      </c>
      <c r="G1028" s="1" t="s">
        <v>844</v>
      </c>
      <c r="H1028" s="3" t="s">
        <v>845</v>
      </c>
      <c r="I1028" s="3" t="s">
        <v>846</v>
      </c>
    </row>
    <row r="1029" customFormat="false" ht="18.7" hidden="false" customHeight="true" outlineLevel="0" collapsed="false">
      <c r="A1029" s="1" t="n">
        <v>1028</v>
      </c>
      <c r="F1029" s="9"/>
    </row>
    <row r="1030" customFormat="false" ht="18.7" hidden="false" customHeight="true" outlineLevel="0" collapsed="false">
      <c r="A1030" s="1" t="n">
        <v>1029</v>
      </c>
      <c r="B1030" s="7" t="str">
        <f aca="false">HYPERLINK("https://mncourtfraud.com/file/ADN-22.zip","ADN-22.zip")</f>
        <v>ADN-22.zip</v>
      </c>
      <c r="C1030" s="8" t="str">
        <f aca="false">HYPERLINK("https://mncourtfraud.com/file/27-CR-21-1977.pdf","27-CR-21-1977")</f>
        <v>27-CR-21-1977</v>
      </c>
      <c r="D1030" s="3" t="s">
        <v>775</v>
      </c>
      <c r="E1030" s="8" t="str">
        <f aca="false">HYPERLINK("https://mncourtfraud.com/file/MCRO_27-CR-21-1977_Notice of Hearing_2023-08-25_20240430075555.pdf","MCRO_27-CR-21-1977_Notice of Hearing_2023-08-25_20240430075555.pdf")</f>
        <v>MCRO_27-CR-21-1977_Notice of Hearing_2023-08-25_20240430075555.pdf</v>
      </c>
      <c r="F1030" s="9" t="n">
        <v>45163</v>
      </c>
      <c r="G1030" s="1" t="s">
        <v>847</v>
      </c>
      <c r="H1030" s="3" t="s">
        <v>848</v>
      </c>
      <c r="I1030" s="3" t="s">
        <v>849</v>
      </c>
    </row>
    <row r="1031" customFormat="false" ht="18.7" hidden="false" customHeight="true" outlineLevel="0" collapsed="false">
      <c r="A1031" s="1" t="n">
        <v>1030</v>
      </c>
      <c r="B1031" s="7" t="str">
        <f aca="false">HYPERLINK("https://mncourtfraud.com/file/ADN-22.zip","ADN-22.zip")</f>
        <v>ADN-22.zip</v>
      </c>
      <c r="C1031" s="8" t="str">
        <f aca="false">HYPERLINK("https://mncourtfraud.com/file/27-CR-21-1978.pdf","27-CR-21-1978")</f>
        <v>27-CR-21-1978</v>
      </c>
      <c r="D1031" s="3" t="s">
        <v>775</v>
      </c>
      <c r="E1031" s="8" t="str">
        <f aca="false">HYPERLINK("https://mncourtfraud.com/file/MCRO_27-CR-21-1978_Notice of Hearing_2023-08-25_20240430075708.pdf","MCRO_27-CR-21-1978_Notice of Hearing_2023-08-25_20240430075708.pdf")</f>
        <v>MCRO_27-CR-21-1978_Notice of Hearing_2023-08-25_20240430075708.pdf</v>
      </c>
      <c r="F1031" s="9" t="n">
        <v>45163</v>
      </c>
      <c r="G1031" s="1" t="s">
        <v>847</v>
      </c>
      <c r="H1031" s="3" t="s">
        <v>848</v>
      </c>
      <c r="I1031" s="3" t="s">
        <v>849</v>
      </c>
    </row>
    <row r="1032" customFormat="false" ht="18.7" hidden="false" customHeight="true" outlineLevel="0" collapsed="false">
      <c r="A1032" s="1" t="n">
        <v>1031</v>
      </c>
      <c r="B1032" s="7" t="str">
        <f aca="false">HYPERLINK("https://mncourtfraud.com/file/ADN-22.zip","ADN-22.zip")</f>
        <v>ADN-22.zip</v>
      </c>
      <c r="C1032" s="8" t="str">
        <f aca="false">HYPERLINK("https://mncourtfraud.com/file/27-CR-22-20033.pdf","27-CR-22-20033")</f>
        <v>27-CR-22-20033</v>
      </c>
      <c r="D1032" s="3" t="s">
        <v>775</v>
      </c>
      <c r="E1032" s="8" t="str">
        <f aca="false">HYPERLINK("https://mncourtfraud.com/file/MCRO_27-CR-22-20033_Notice of Hearing_2023-08-25_20240429162648.pdf","MCRO_27-CR-22-20033_Notice of Hearing_2023-08-25_20240429162648.pdf")</f>
        <v>MCRO_27-CR-22-20033_Notice of Hearing_2023-08-25_20240429162648.pdf</v>
      </c>
      <c r="F1032" s="9" t="n">
        <v>45163</v>
      </c>
      <c r="G1032" s="1" t="s">
        <v>847</v>
      </c>
      <c r="H1032" s="3" t="s">
        <v>848</v>
      </c>
      <c r="I1032" s="3" t="s">
        <v>849</v>
      </c>
    </row>
    <row r="1033" customFormat="false" ht="18.7" hidden="false" customHeight="true" outlineLevel="0" collapsed="false">
      <c r="A1033" s="1" t="n">
        <v>1032</v>
      </c>
      <c r="B1033" s="7" t="str">
        <f aca="false">HYPERLINK("https://mncourtfraud.com/file/ADN-22.zip","ADN-22.zip")</f>
        <v>ADN-22.zip</v>
      </c>
      <c r="C1033" s="8" t="str">
        <f aca="false">HYPERLINK("https://mncourtfraud.com/file/27-CR-20-3244.pdf","27-CR-20-3244")</f>
        <v>27-CR-20-3244</v>
      </c>
      <c r="D1033" s="3" t="s">
        <v>796</v>
      </c>
      <c r="E1033" s="8" t="str">
        <f aca="false">HYPERLINK("https://mncourtfraud.com/file/MCRO_27-CR-20-3244_Notice of Hearing_2023-08-25_20240430085006.pdf","MCRO_27-CR-20-3244_Notice of Hearing_2023-08-25_20240430085006.pdf")</f>
        <v>MCRO_27-CR-20-3244_Notice of Hearing_2023-08-25_20240430085006.pdf</v>
      </c>
      <c r="F1033" s="9" t="n">
        <v>45163</v>
      </c>
      <c r="G1033" s="1" t="s">
        <v>847</v>
      </c>
      <c r="H1033" s="3" t="s">
        <v>848</v>
      </c>
      <c r="I1033" s="3" t="s">
        <v>849</v>
      </c>
    </row>
    <row r="1034" customFormat="false" ht="18.7" hidden="false" customHeight="true" outlineLevel="0" collapsed="false">
      <c r="A1034" s="1" t="n">
        <v>1033</v>
      </c>
      <c r="F1034" s="9"/>
    </row>
    <row r="1035" customFormat="false" ht="18.7" hidden="false" customHeight="true" outlineLevel="0" collapsed="false">
      <c r="A1035" s="1" t="n">
        <v>1034</v>
      </c>
      <c r="B1035" s="7" t="str">
        <f aca="false">HYPERLINK("https://mncourtfraud.com/file/ADN-23.zip","ADN-23.zip")</f>
        <v>ADN-23.zip</v>
      </c>
      <c r="C1035" s="8" t="str">
        <f aca="false">HYPERLINK("https://mncourtfraud.com/file/27-CR-21-1977.pdf","27-CR-21-1977")</f>
        <v>27-CR-21-1977</v>
      </c>
      <c r="D1035" s="3" t="s">
        <v>775</v>
      </c>
      <c r="E1035" s="8" t="str">
        <f aca="false">HYPERLINK("https://mncourtfraud.com/file/MCRO_27-CR-21-1977_Notice of Remote Hearing with Instructions_2023-08-25_20240430075556.pdf","MCRO_27-CR-21-1977_Notice of Remote Hearing with Instructions_2023-08-25_20240430075556.pdf")</f>
        <v>MCRO_27-CR-21-1977_Notice of Remote Hearing with Instructions_2023-08-25_20240430075556.pdf</v>
      </c>
      <c r="F1035" s="9" t="n">
        <v>45163</v>
      </c>
      <c r="G1035" s="1" t="s">
        <v>850</v>
      </c>
      <c r="H1035" s="3" t="s">
        <v>851</v>
      </c>
      <c r="I1035" s="3" t="s">
        <v>852</v>
      </c>
    </row>
    <row r="1036" customFormat="false" ht="18.7" hidden="false" customHeight="true" outlineLevel="0" collapsed="false">
      <c r="A1036" s="1" t="n">
        <v>1035</v>
      </c>
      <c r="B1036" s="7" t="str">
        <f aca="false">HYPERLINK("https://mncourtfraud.com/file/ADN-23.zip","ADN-23.zip")</f>
        <v>ADN-23.zip</v>
      </c>
      <c r="C1036" s="8" t="str">
        <f aca="false">HYPERLINK("https://mncourtfraud.com/file/27-CR-21-1978.pdf","27-CR-21-1978")</f>
        <v>27-CR-21-1978</v>
      </c>
      <c r="D1036" s="3" t="s">
        <v>775</v>
      </c>
      <c r="E1036" s="8" t="str">
        <f aca="false">HYPERLINK("https://mncourtfraud.com/file/MCRO_27-CR-21-1978_Notice of Remote Hearing with Instructions_2023-08-25_20240430075709.pdf","MCRO_27-CR-21-1978_Notice of Remote Hearing with Instructions_2023-08-25_20240430075709.pdf")</f>
        <v>MCRO_27-CR-21-1978_Notice of Remote Hearing with Instructions_2023-08-25_20240430075709.pdf</v>
      </c>
      <c r="F1036" s="9" t="n">
        <v>45163</v>
      </c>
      <c r="G1036" s="1" t="s">
        <v>850</v>
      </c>
      <c r="H1036" s="3" t="s">
        <v>851</v>
      </c>
      <c r="I1036" s="3" t="s">
        <v>852</v>
      </c>
    </row>
    <row r="1037" customFormat="false" ht="18.7" hidden="false" customHeight="true" outlineLevel="0" collapsed="false">
      <c r="A1037" s="1" t="n">
        <v>1036</v>
      </c>
      <c r="B1037" s="7" t="str">
        <f aca="false">HYPERLINK("https://mncourtfraud.com/file/ADN-23.zip","ADN-23.zip")</f>
        <v>ADN-23.zip</v>
      </c>
      <c r="C1037" s="8" t="str">
        <f aca="false">HYPERLINK("https://mncourtfraud.com/file/27-CR-22-20033.pdf","27-CR-22-20033")</f>
        <v>27-CR-22-20033</v>
      </c>
      <c r="D1037" s="3" t="s">
        <v>775</v>
      </c>
      <c r="E1037" s="8" t="str">
        <f aca="false">HYPERLINK("https://mncourtfraud.com/file/MCRO_27-CR-22-20033_Notice of Remote Hearing with Instructions_2023-08-25_20240429162649.pdf","MCRO_27-CR-22-20033_Notice of Remote Hearing with Instructions_2023-08-25_20240429162649.pdf")</f>
        <v>MCRO_27-CR-22-20033_Notice of Remote Hearing with Instructions_2023-08-25_20240429162649.pdf</v>
      </c>
      <c r="F1037" s="9" t="n">
        <v>45163</v>
      </c>
      <c r="G1037" s="1" t="s">
        <v>850</v>
      </c>
      <c r="H1037" s="3" t="s">
        <v>851</v>
      </c>
      <c r="I1037" s="3" t="s">
        <v>852</v>
      </c>
    </row>
    <row r="1038" customFormat="false" ht="18.7" hidden="false" customHeight="true" outlineLevel="0" collapsed="false">
      <c r="A1038" s="1" t="n">
        <v>1037</v>
      </c>
      <c r="B1038" s="7" t="str">
        <f aca="false">HYPERLINK("https://mncourtfraud.com/file/ADN-23.zip","ADN-23.zip")</f>
        <v>ADN-23.zip</v>
      </c>
      <c r="C1038" s="8" t="str">
        <f aca="false">HYPERLINK("https://mncourtfraud.com/file/27-CR-20-3244.pdf","27-CR-20-3244")</f>
        <v>27-CR-20-3244</v>
      </c>
      <c r="D1038" s="3" t="s">
        <v>796</v>
      </c>
      <c r="E1038" s="8" t="str">
        <f aca="false">HYPERLINK("https://mncourtfraud.com/file/MCRO_27-CR-20-3244_Notice of Remote Hearing with Instructions_2023-08-25_20240430085006.pdf","MCRO_27-CR-20-3244_Notice of Remote Hearing with Instructions_2023-08-25_20240430085006.pdf")</f>
        <v>MCRO_27-CR-20-3244_Notice of Remote Hearing with Instructions_2023-08-25_20240430085006.pdf</v>
      </c>
      <c r="F1038" s="9" t="n">
        <v>45163</v>
      </c>
      <c r="G1038" s="1" t="s">
        <v>850</v>
      </c>
      <c r="H1038" s="3" t="s">
        <v>851</v>
      </c>
      <c r="I1038" s="3" t="s">
        <v>852</v>
      </c>
    </row>
    <row r="1039" customFormat="false" ht="18.7" hidden="false" customHeight="true" outlineLevel="0" collapsed="false">
      <c r="A1039" s="1" t="n">
        <v>1038</v>
      </c>
      <c r="F1039" s="9"/>
    </row>
    <row r="1040" customFormat="false" ht="18.7" hidden="false" customHeight="true" outlineLevel="0" collapsed="false">
      <c r="A1040" s="1" t="n">
        <v>1039</v>
      </c>
      <c r="B1040" s="7" t="str">
        <f aca="false">HYPERLINK("https://mncourtfraud.com/file/ADN-24.zip","ADN-24.zip")</f>
        <v>ADN-24.zip</v>
      </c>
      <c r="C1040" s="8" t="str">
        <f aca="false">HYPERLINK("https://mncourtfraud.com/file/27-CR-21-1977.pdf","27-CR-21-1977")</f>
        <v>27-CR-21-1977</v>
      </c>
      <c r="D1040" s="3" t="s">
        <v>775</v>
      </c>
      <c r="E1040" s="8" t="str">
        <f aca="false">HYPERLINK("https://mncourtfraud.com/file/MCRO_27-CR-21-1977_Order-Evaluation for Competency to Proceed (Rule 20.01)_2023-08-25_20240430075554.pdf","MCRO_27-CR-21-1977_Order-Evaluation for Competency to Proceed (Rule 20.01)_2023-08-25_20240430075554.pdf")</f>
        <v>MCRO_27-CR-21-1977_Order-Evaluation for Competency to Proceed (Rule 20.01)_2023-08-25_20240430075554.pdf</v>
      </c>
      <c r="F1040" s="9" t="n">
        <v>45163</v>
      </c>
      <c r="G1040" s="1" t="s">
        <v>853</v>
      </c>
      <c r="H1040" s="3" t="s">
        <v>854</v>
      </c>
      <c r="I1040" s="3" t="s">
        <v>855</v>
      </c>
    </row>
    <row r="1041" customFormat="false" ht="18.7" hidden="false" customHeight="true" outlineLevel="0" collapsed="false">
      <c r="A1041" s="1" t="n">
        <v>1040</v>
      </c>
      <c r="B1041" s="7" t="str">
        <f aca="false">HYPERLINK("https://mncourtfraud.com/file/ADN-24.zip","ADN-24.zip")</f>
        <v>ADN-24.zip</v>
      </c>
      <c r="C1041" s="8" t="str">
        <f aca="false">HYPERLINK("https://mncourtfraud.com/file/27-CR-21-1978.pdf","27-CR-21-1978")</f>
        <v>27-CR-21-1978</v>
      </c>
      <c r="D1041" s="3" t="s">
        <v>775</v>
      </c>
      <c r="E1041" s="8" t="str">
        <f aca="false">HYPERLINK("https://mncourtfraud.com/file/MCRO_27-CR-21-1978_Order-Evaluation for Competency to Proceed (Rule 20.01)_2023-08-25_20240430075707.pdf","MCRO_27-CR-21-1978_Order-Evaluation for Competency to Proceed (Rule 20.01)_2023-08-25_20240430075707.pdf")</f>
        <v>MCRO_27-CR-21-1978_Order-Evaluation for Competency to Proceed (Rule 20.01)_2023-08-25_20240430075707.pdf</v>
      </c>
      <c r="F1041" s="9" t="n">
        <v>45163</v>
      </c>
      <c r="G1041" s="1" t="s">
        <v>853</v>
      </c>
      <c r="H1041" s="3" t="s">
        <v>854</v>
      </c>
      <c r="I1041" s="3" t="s">
        <v>856</v>
      </c>
    </row>
    <row r="1042" customFormat="false" ht="18.7" hidden="false" customHeight="true" outlineLevel="0" collapsed="false">
      <c r="A1042" s="1" t="n">
        <v>1041</v>
      </c>
      <c r="B1042" s="7" t="str">
        <f aca="false">HYPERLINK("https://mncourtfraud.com/file/ADN-24.zip","ADN-24.zip")</f>
        <v>ADN-24.zip</v>
      </c>
      <c r="C1042" s="8" t="str">
        <f aca="false">HYPERLINK("https://mncourtfraud.com/file/27-CR-22-20033.pdf","27-CR-22-20033")</f>
        <v>27-CR-22-20033</v>
      </c>
      <c r="D1042" s="3" t="s">
        <v>775</v>
      </c>
      <c r="E1042" s="8" t="str">
        <f aca="false">HYPERLINK("https://mncourtfraud.com/file/MCRO_27-CR-22-20033_Order-Evaluation for Competency to Proceed (Rule 20.01)_2023-08-25_20240429162647.pdf","MCRO_27-CR-22-20033_Order-Evaluation for Competency to Proceed (Rule 20.01)_2023-08-25_20240429162647.pdf")</f>
        <v>MCRO_27-CR-22-20033_Order-Evaluation for Competency to Proceed (Rule 20.01)_2023-08-25_20240429162647.pdf</v>
      </c>
      <c r="F1042" s="9" t="n">
        <v>45163</v>
      </c>
      <c r="G1042" s="1" t="s">
        <v>853</v>
      </c>
      <c r="H1042" s="3" t="s">
        <v>854</v>
      </c>
      <c r="I1042" s="3" t="s">
        <v>857</v>
      </c>
    </row>
    <row r="1043" customFormat="false" ht="18.7" hidden="false" customHeight="true" outlineLevel="0" collapsed="false">
      <c r="A1043" s="1" t="n">
        <v>1042</v>
      </c>
      <c r="B1043" s="7" t="str">
        <f aca="false">HYPERLINK("https://mncourtfraud.com/file/ADN-24.zip","ADN-24.zip")</f>
        <v>ADN-24.zip</v>
      </c>
      <c r="C1043" s="8" t="str">
        <f aca="false">HYPERLINK("https://mncourtfraud.com/file/27-CR-20-3244.pdf","27-CR-20-3244")</f>
        <v>27-CR-20-3244</v>
      </c>
      <c r="D1043" s="3" t="s">
        <v>796</v>
      </c>
      <c r="E1043" s="8" t="str">
        <f aca="false">HYPERLINK("https://mncourtfraud.com/file/MCRO_27-CR-20-3244_Order-Evaluation for Competency to Proceed (Rule 20.01)_2023-08-25_20240430085004.pdf","MCRO_27-CR-20-3244_Order-Evaluation for Competency to Proceed (Rule 20.01)_2023-08-25_20240430085004.pdf")</f>
        <v>MCRO_27-CR-20-3244_Order-Evaluation for Competency to Proceed (Rule 20.01)_2023-08-25_20240430085004.pdf</v>
      </c>
      <c r="F1043" s="9" t="n">
        <v>45163</v>
      </c>
      <c r="G1043" s="1" t="s">
        <v>853</v>
      </c>
      <c r="H1043" s="3" t="s">
        <v>854</v>
      </c>
      <c r="I1043" s="3" t="s">
        <v>858</v>
      </c>
    </row>
    <row r="1044" customFormat="false" ht="18.7" hidden="false" customHeight="true" outlineLevel="0" collapsed="false">
      <c r="A1044" s="1" t="n">
        <v>1043</v>
      </c>
      <c r="F1044" s="9"/>
    </row>
    <row r="1045" customFormat="false" ht="18.7" hidden="false" customHeight="true" outlineLevel="0" collapsed="false">
      <c r="A1045" s="1" t="n">
        <v>1044</v>
      </c>
      <c r="B1045" s="7" t="str">
        <f aca="false">HYPERLINK("https://mncourtfraud.com/file/ADN-25.zip","ADN-25.zip")</f>
        <v>ADN-25.zip</v>
      </c>
      <c r="C1045" s="8" t="str">
        <f aca="false">HYPERLINK("https://mncourtfraud.com/file/27-CR-21-1978.pdf","27-CR-21-1978")</f>
        <v>27-CR-21-1978</v>
      </c>
      <c r="D1045" s="3" t="s">
        <v>775</v>
      </c>
      <c r="E1045" s="8" t="str">
        <f aca="false">HYPERLINK("https://mncourtfraud.com/file/MCRO_27-CR-21-1978_Returned Mail_2023-10-11_20240430075706.pdf","MCRO_27-CR-21-1978_Returned Mail_2023-10-11_20240430075706.pdf")</f>
        <v>MCRO_27-CR-21-1978_Returned Mail_2023-10-11_20240430075706.pdf</v>
      </c>
      <c r="F1045" s="9" t="n">
        <v>45210</v>
      </c>
      <c r="G1045" s="1" t="s">
        <v>859</v>
      </c>
      <c r="H1045" s="3" t="s">
        <v>860</v>
      </c>
      <c r="I1045" s="3" t="s">
        <v>861</v>
      </c>
    </row>
    <row r="1046" customFormat="false" ht="18.7" hidden="false" customHeight="true" outlineLevel="0" collapsed="false">
      <c r="A1046" s="1" t="n">
        <v>1045</v>
      </c>
      <c r="B1046" s="7" t="str">
        <f aca="false">HYPERLINK("https://mncourtfraud.com/file/ADN-25.zip","ADN-25.zip")</f>
        <v>ADN-25.zip</v>
      </c>
      <c r="C1046" s="8" t="str">
        <f aca="false">HYPERLINK("https://mncourtfraud.com/file/27-CR-22-20033.pdf","27-CR-22-20033")</f>
        <v>27-CR-22-20033</v>
      </c>
      <c r="D1046" s="3" t="s">
        <v>775</v>
      </c>
      <c r="E1046" s="8" t="str">
        <f aca="false">HYPERLINK("https://mncourtfraud.com/file/MCRO_27-CR-22-20033_Returned Mail_2023-10-11_20240429162646.pdf","MCRO_27-CR-22-20033_Returned Mail_2023-10-11_20240429162646.pdf")</f>
        <v>MCRO_27-CR-22-20033_Returned Mail_2023-10-11_20240429162646.pdf</v>
      </c>
      <c r="F1046" s="9" t="n">
        <v>45210</v>
      </c>
      <c r="G1046" s="1" t="s">
        <v>859</v>
      </c>
      <c r="H1046" s="3" t="s">
        <v>860</v>
      </c>
      <c r="I1046" s="3" t="s">
        <v>861</v>
      </c>
    </row>
    <row r="1047" customFormat="false" ht="18.7" hidden="false" customHeight="true" outlineLevel="0" collapsed="false">
      <c r="A1047" s="1" t="n">
        <v>1046</v>
      </c>
      <c r="B1047" s="7" t="str">
        <f aca="false">HYPERLINK("https://mncourtfraud.com/file/ADN-25.zip","ADN-25.zip")</f>
        <v>ADN-25.zip</v>
      </c>
      <c r="C1047" s="8" t="str">
        <f aca="false">HYPERLINK("https://mncourtfraud.com/file/27-CR-20-3244.pdf","27-CR-20-3244")</f>
        <v>27-CR-20-3244</v>
      </c>
      <c r="D1047" s="3" t="s">
        <v>796</v>
      </c>
      <c r="E1047" s="8" t="str">
        <f aca="false">HYPERLINK("https://mncourtfraud.com/file/MCRO_27-CR-20-3244_Returned Mail_2023-10-11_20240430085003.pdf","MCRO_27-CR-20-3244_Returned Mail_2023-10-11_20240430085003.pdf")</f>
        <v>MCRO_27-CR-20-3244_Returned Mail_2023-10-11_20240430085003.pdf</v>
      </c>
      <c r="F1047" s="9" t="n">
        <v>45210</v>
      </c>
      <c r="G1047" s="1" t="s">
        <v>859</v>
      </c>
      <c r="H1047" s="3" t="s">
        <v>860</v>
      </c>
      <c r="I1047" s="3" t="s">
        <v>861</v>
      </c>
    </row>
    <row r="1048" customFormat="false" ht="18.7" hidden="false" customHeight="true" outlineLevel="0" collapsed="false">
      <c r="A1048" s="1" t="n">
        <v>1047</v>
      </c>
      <c r="F1048" s="9"/>
    </row>
    <row r="1049" customFormat="false" ht="18.7" hidden="false" customHeight="true" outlineLevel="0" collapsed="false">
      <c r="A1049" s="1" t="n">
        <v>1048</v>
      </c>
      <c r="B1049" s="7" t="str">
        <f aca="false">HYPERLINK("https://mncourtfraud.com/file/ADN-26.zip","ADN-26.zip")</f>
        <v>ADN-26.zip</v>
      </c>
      <c r="C1049" s="8" t="str">
        <f aca="false">HYPERLINK("https://mncourtfraud.com/file/27-CR-21-1977.pdf","27-CR-21-1977")</f>
        <v>27-CR-21-1977</v>
      </c>
      <c r="D1049" s="3" t="s">
        <v>775</v>
      </c>
      <c r="E1049" s="8" t="str">
        <f aca="false">HYPERLINK("https://mncourtfraud.com/file/MCRO_27-CR-21-1977_Notice of Remote Hearing with Instructions_2023-10-24_20240430075552.pdf","MCRO_27-CR-21-1977_Notice of Remote Hearing with Instructions_2023-10-24_20240430075552.pdf")</f>
        <v>MCRO_27-CR-21-1977_Notice of Remote Hearing with Instructions_2023-10-24_20240430075552.pdf</v>
      </c>
      <c r="F1049" s="9" t="n">
        <v>45223</v>
      </c>
      <c r="G1049" s="1" t="s">
        <v>862</v>
      </c>
      <c r="H1049" s="3" t="s">
        <v>863</v>
      </c>
      <c r="I1049" s="3" t="s">
        <v>864</v>
      </c>
    </row>
    <row r="1050" customFormat="false" ht="18.7" hidden="false" customHeight="true" outlineLevel="0" collapsed="false">
      <c r="A1050" s="1" t="n">
        <v>1049</v>
      </c>
      <c r="B1050" s="7" t="str">
        <f aca="false">HYPERLINK("https://mncourtfraud.com/file/ADN-26.zip","ADN-26.zip")</f>
        <v>ADN-26.zip</v>
      </c>
      <c r="C1050" s="8" t="str">
        <f aca="false">HYPERLINK("https://mncourtfraud.com/file/27-CR-21-1978.pdf","27-CR-21-1978")</f>
        <v>27-CR-21-1978</v>
      </c>
      <c r="D1050" s="3" t="s">
        <v>775</v>
      </c>
      <c r="E1050" s="8" t="str">
        <f aca="false">HYPERLINK("https://mncourtfraud.com/file/MCRO_27-CR-21-1978_Notice of Remote Hearing with Instructions_2023-10-24_20240430075705.pdf","MCRO_27-CR-21-1978_Notice of Remote Hearing with Instructions_2023-10-24_20240430075705.pdf")</f>
        <v>MCRO_27-CR-21-1978_Notice of Remote Hearing with Instructions_2023-10-24_20240430075705.pdf</v>
      </c>
      <c r="F1050" s="9" t="n">
        <v>45223</v>
      </c>
      <c r="G1050" s="1" t="s">
        <v>862</v>
      </c>
      <c r="H1050" s="3" t="s">
        <v>863</v>
      </c>
      <c r="I1050" s="3" t="s">
        <v>865</v>
      </c>
    </row>
    <row r="1051" customFormat="false" ht="18.7" hidden="false" customHeight="true" outlineLevel="0" collapsed="false">
      <c r="A1051" s="1" t="n">
        <v>1050</v>
      </c>
      <c r="B1051" s="7" t="str">
        <f aca="false">HYPERLINK("https://mncourtfraud.com/file/ADN-26.zip","ADN-26.zip")</f>
        <v>ADN-26.zip</v>
      </c>
      <c r="C1051" s="8" t="str">
        <f aca="false">HYPERLINK("https://mncourtfraud.com/file/27-CR-22-20033.pdf","27-CR-22-20033")</f>
        <v>27-CR-22-20033</v>
      </c>
      <c r="D1051" s="3" t="s">
        <v>775</v>
      </c>
      <c r="E1051" s="8" t="str">
        <f aca="false">HYPERLINK("https://mncourtfraud.com/file/MCRO_27-CR-22-20033_Notice of Remote Hearing with Instructions_2023-10-24_20240429162646.pdf","MCRO_27-CR-22-20033_Notice of Remote Hearing with Instructions_2023-10-24_20240429162646.pdf")</f>
        <v>MCRO_27-CR-22-20033_Notice of Remote Hearing with Instructions_2023-10-24_20240429162646.pdf</v>
      </c>
      <c r="F1051" s="9" t="n">
        <v>45223</v>
      </c>
      <c r="G1051" s="1" t="s">
        <v>862</v>
      </c>
      <c r="H1051" s="3" t="s">
        <v>863</v>
      </c>
      <c r="I1051" s="3" t="s">
        <v>864</v>
      </c>
    </row>
    <row r="1052" customFormat="false" ht="18.7" hidden="false" customHeight="true" outlineLevel="0" collapsed="false">
      <c r="A1052" s="1" t="n">
        <v>1051</v>
      </c>
      <c r="B1052" s="7" t="str">
        <f aca="false">HYPERLINK("https://mncourtfraud.com/file/ADN-26.zip","ADN-26.zip")</f>
        <v>ADN-26.zip</v>
      </c>
      <c r="C1052" s="8" t="str">
        <f aca="false">HYPERLINK("https://mncourtfraud.com/file/27-CR-20-3244.pdf","27-CR-20-3244")</f>
        <v>27-CR-20-3244</v>
      </c>
      <c r="D1052" s="3" t="s">
        <v>796</v>
      </c>
      <c r="E1052" s="8" t="str">
        <f aca="false">HYPERLINK("https://mncourtfraud.com/file/MCRO_27-CR-20-3244_Notice of Remote Hearing with Instructions_2023-10-24_20240430085002.pdf","MCRO_27-CR-20-3244_Notice of Remote Hearing with Instructions_2023-10-24_20240430085002.pdf")</f>
        <v>MCRO_27-CR-20-3244_Notice of Remote Hearing with Instructions_2023-10-24_20240430085002.pdf</v>
      </c>
      <c r="F1052" s="9" t="n">
        <v>45223</v>
      </c>
      <c r="G1052" s="1" t="s">
        <v>862</v>
      </c>
      <c r="H1052" s="3" t="s">
        <v>863</v>
      </c>
      <c r="I1052" s="3" t="s">
        <v>864</v>
      </c>
    </row>
    <row r="1053" customFormat="false" ht="18.7" hidden="false" customHeight="true" outlineLevel="0" collapsed="false">
      <c r="A1053" s="1" t="n">
        <v>1052</v>
      </c>
      <c r="F1053" s="9"/>
    </row>
    <row r="1054" customFormat="false" ht="18.7" hidden="false" customHeight="true" outlineLevel="0" collapsed="false">
      <c r="A1054" s="1" t="n">
        <v>1053</v>
      </c>
      <c r="B1054" s="7" t="str">
        <f aca="false">HYPERLINK("https://mncourtfraud.com/file/ADN-27.zip","ADN-27.zip")</f>
        <v>ADN-27.zip</v>
      </c>
      <c r="C1054" s="8" t="str">
        <f aca="false">HYPERLINK("https://mncourtfraud.com/file/27-CR-21-1977.pdf","27-CR-21-1977")</f>
        <v>27-CR-21-1977</v>
      </c>
      <c r="D1054" s="3" t="s">
        <v>775</v>
      </c>
      <c r="E1054" s="8" t="str">
        <f aca="false">HYPERLINK("https://mncourtfraud.com/file/MCRO_27-CR-21-1977_Notice of Hearing_2023-10-24_20240430075551.pdf","MCRO_27-CR-21-1977_Notice of Hearing_2023-10-24_20240430075551.pdf")</f>
        <v>MCRO_27-CR-21-1977_Notice of Hearing_2023-10-24_20240430075551.pdf</v>
      </c>
      <c r="F1054" s="9" t="n">
        <v>45223</v>
      </c>
      <c r="G1054" s="1" t="s">
        <v>866</v>
      </c>
      <c r="H1054" s="3" t="s">
        <v>867</v>
      </c>
      <c r="I1054" s="3" t="s">
        <v>868</v>
      </c>
    </row>
    <row r="1055" customFormat="false" ht="18.7" hidden="false" customHeight="true" outlineLevel="0" collapsed="false">
      <c r="A1055" s="1" t="n">
        <v>1054</v>
      </c>
      <c r="B1055" s="7" t="str">
        <f aca="false">HYPERLINK("https://mncourtfraud.com/file/ADN-27.zip","ADN-27.zip")</f>
        <v>ADN-27.zip</v>
      </c>
      <c r="C1055" s="8" t="str">
        <f aca="false">HYPERLINK("https://mncourtfraud.com/file/27-CR-21-1978.pdf","27-CR-21-1978")</f>
        <v>27-CR-21-1978</v>
      </c>
      <c r="D1055" s="3" t="s">
        <v>775</v>
      </c>
      <c r="E1055" s="8" t="str">
        <f aca="false">HYPERLINK("https://mncourtfraud.com/file/MCRO_27-CR-21-1978_Notice of Hearing_2023-10-24_20240430075704.pdf","MCRO_27-CR-21-1978_Notice of Hearing_2023-10-24_20240430075704.pdf")</f>
        <v>MCRO_27-CR-21-1978_Notice of Hearing_2023-10-24_20240430075704.pdf</v>
      </c>
      <c r="F1055" s="9" t="n">
        <v>45223</v>
      </c>
      <c r="G1055" s="1" t="s">
        <v>866</v>
      </c>
      <c r="H1055" s="3" t="s">
        <v>867</v>
      </c>
      <c r="I1055" s="3" t="s">
        <v>868</v>
      </c>
    </row>
    <row r="1056" customFormat="false" ht="18.7" hidden="false" customHeight="true" outlineLevel="0" collapsed="false">
      <c r="A1056" s="1" t="n">
        <v>1055</v>
      </c>
      <c r="B1056" s="7" t="str">
        <f aca="false">HYPERLINK("https://mncourtfraud.com/file/ADN-27.zip","ADN-27.zip")</f>
        <v>ADN-27.zip</v>
      </c>
      <c r="C1056" s="8" t="str">
        <f aca="false">HYPERLINK("https://mncourtfraud.com/file/27-CR-22-20033.pdf","27-CR-22-20033")</f>
        <v>27-CR-22-20033</v>
      </c>
      <c r="D1056" s="3" t="s">
        <v>775</v>
      </c>
      <c r="E1056" s="8" t="str">
        <f aca="false">HYPERLINK("https://mncourtfraud.com/file/MCRO_27-CR-22-20033_Notice of Hearing_2023-10-24_20240429162644.pdf","MCRO_27-CR-22-20033_Notice of Hearing_2023-10-24_20240429162644.pdf")</f>
        <v>MCRO_27-CR-22-20033_Notice of Hearing_2023-10-24_20240429162644.pdf</v>
      </c>
      <c r="F1056" s="9" t="n">
        <v>45223</v>
      </c>
      <c r="G1056" s="1" t="s">
        <v>866</v>
      </c>
      <c r="H1056" s="3" t="s">
        <v>867</v>
      </c>
      <c r="I1056" s="3" t="s">
        <v>868</v>
      </c>
    </row>
    <row r="1057" customFormat="false" ht="18.7" hidden="false" customHeight="true" outlineLevel="0" collapsed="false">
      <c r="A1057" s="1" t="n">
        <v>1056</v>
      </c>
      <c r="F1057" s="9"/>
    </row>
    <row r="1058" customFormat="false" ht="18.7" hidden="false" customHeight="true" outlineLevel="0" collapsed="false">
      <c r="A1058" s="1" t="n">
        <v>1057</v>
      </c>
      <c r="B1058" s="7" t="str">
        <f aca="false">HYPERLINK("https://mncourtfraud.com/file/ADN-28.zip","ADN-28.zip")</f>
        <v>ADN-28.zip</v>
      </c>
      <c r="C1058" s="8" t="str">
        <f aca="false">HYPERLINK("https://mncourtfraud.com/file/27-CR-21-1977.pdf","27-CR-21-1977")</f>
        <v>27-CR-21-1977</v>
      </c>
      <c r="D1058" s="3" t="s">
        <v>775</v>
      </c>
      <c r="E1058" s="8" t="str">
        <f aca="false">HYPERLINK("https://mncourtfraud.com/file/MCRO_27-CR-21-1977_Notice of Hearing_2023-10-25_20240430075550.pdf","MCRO_27-CR-21-1977_Notice of Hearing_2023-10-25_20240430075550.pdf")</f>
        <v>MCRO_27-CR-21-1977_Notice of Hearing_2023-10-25_20240430075550.pdf</v>
      </c>
      <c r="F1058" s="9" t="n">
        <v>45224</v>
      </c>
      <c r="G1058" s="1" t="s">
        <v>869</v>
      </c>
      <c r="H1058" s="3" t="s">
        <v>870</v>
      </c>
      <c r="I1058" s="3" t="s">
        <v>871</v>
      </c>
    </row>
    <row r="1059" customFormat="false" ht="18.7" hidden="false" customHeight="true" outlineLevel="0" collapsed="false">
      <c r="A1059" s="1" t="n">
        <v>1058</v>
      </c>
      <c r="B1059" s="7" t="str">
        <f aca="false">HYPERLINK("https://mncourtfraud.com/file/ADN-28.zip","ADN-28.zip")</f>
        <v>ADN-28.zip</v>
      </c>
      <c r="C1059" s="8" t="str">
        <f aca="false">HYPERLINK("https://mncourtfraud.com/file/27-CR-21-1978.pdf","27-CR-21-1978")</f>
        <v>27-CR-21-1978</v>
      </c>
      <c r="D1059" s="3" t="s">
        <v>775</v>
      </c>
      <c r="E1059" s="8" t="str">
        <f aca="false">HYPERLINK("https://mncourtfraud.com/file/MCRO_27-CR-21-1978_Notice of Hearing_2023-10-25_20240430075703.pdf","MCRO_27-CR-21-1978_Notice of Hearing_2023-10-25_20240430075703.pdf")</f>
        <v>MCRO_27-CR-21-1978_Notice of Hearing_2023-10-25_20240430075703.pdf</v>
      </c>
      <c r="F1059" s="9" t="n">
        <v>45224</v>
      </c>
      <c r="G1059" s="1" t="s">
        <v>869</v>
      </c>
      <c r="H1059" s="3" t="s">
        <v>870</v>
      </c>
      <c r="I1059" s="3" t="s">
        <v>871</v>
      </c>
    </row>
    <row r="1060" customFormat="false" ht="18.7" hidden="false" customHeight="true" outlineLevel="0" collapsed="false">
      <c r="A1060" s="1" t="n">
        <v>1059</v>
      </c>
      <c r="B1060" s="7" t="str">
        <f aca="false">HYPERLINK("https://mncourtfraud.com/file/ADN-28.zip","ADN-28.zip")</f>
        <v>ADN-28.zip</v>
      </c>
      <c r="C1060" s="8" t="str">
        <f aca="false">HYPERLINK("https://mncourtfraud.com/file/27-CR-22-20033.pdf","27-CR-22-20033")</f>
        <v>27-CR-22-20033</v>
      </c>
      <c r="D1060" s="3" t="s">
        <v>775</v>
      </c>
      <c r="E1060" s="8" t="str">
        <f aca="false">HYPERLINK("https://mncourtfraud.com/file/MCRO_27-CR-22-20033_Notice of Hearing_2023-10-25_20240429162643.pdf","MCRO_27-CR-22-20033_Notice of Hearing_2023-10-25_20240429162643.pdf")</f>
        <v>MCRO_27-CR-22-20033_Notice of Hearing_2023-10-25_20240429162643.pdf</v>
      </c>
      <c r="F1060" s="9" t="n">
        <v>45224</v>
      </c>
      <c r="G1060" s="1" t="s">
        <v>869</v>
      </c>
      <c r="H1060" s="3" t="s">
        <v>870</v>
      </c>
      <c r="I1060" s="3" t="s">
        <v>871</v>
      </c>
    </row>
    <row r="1061" customFormat="false" ht="18.7" hidden="false" customHeight="true" outlineLevel="0" collapsed="false">
      <c r="A1061" s="1" t="n">
        <v>1060</v>
      </c>
      <c r="B1061" s="7" t="str">
        <f aca="false">HYPERLINK("https://mncourtfraud.com/file/ADN-28.zip","ADN-28.zip")</f>
        <v>ADN-28.zip</v>
      </c>
      <c r="C1061" s="8" t="str">
        <f aca="false">HYPERLINK("https://mncourtfraud.com/file/27-CR-20-3244.pdf","27-CR-20-3244")</f>
        <v>27-CR-20-3244</v>
      </c>
      <c r="D1061" s="3" t="s">
        <v>796</v>
      </c>
      <c r="E1061" s="8" t="str">
        <f aca="false">HYPERLINK("https://mncourtfraud.com/file/MCRO_27-CR-20-3244_Notice of Hearing_2023-10-25_20240430085000.pdf","MCRO_27-CR-20-3244_Notice of Hearing_2023-10-25_20240430085000.pdf")</f>
        <v>MCRO_27-CR-20-3244_Notice of Hearing_2023-10-25_20240430085000.pdf</v>
      </c>
      <c r="F1061" s="9" t="n">
        <v>45224</v>
      </c>
      <c r="G1061" s="1" t="s">
        <v>869</v>
      </c>
      <c r="H1061" s="3" t="s">
        <v>870</v>
      </c>
      <c r="I1061" s="3" t="s">
        <v>871</v>
      </c>
    </row>
    <row r="1062" customFormat="false" ht="18.7" hidden="false" customHeight="true" outlineLevel="0" collapsed="false">
      <c r="A1062" s="1" t="n">
        <v>1061</v>
      </c>
      <c r="F1062" s="9"/>
    </row>
    <row r="1063" customFormat="false" ht="18.7" hidden="false" customHeight="true" outlineLevel="0" collapsed="false">
      <c r="A1063" s="1" t="n">
        <v>1062</v>
      </c>
      <c r="B1063" s="7" t="str">
        <f aca="false">HYPERLINK("https://mncourtfraud.com/file/ADN-29.zip","ADN-29.zip")</f>
        <v>ADN-29.zip</v>
      </c>
      <c r="C1063" s="8" t="str">
        <f aca="false">HYPERLINK("https://mncourtfraud.com/file/27-CR-22-20033.pdf","27-CR-22-20033")</f>
        <v>27-CR-22-20033</v>
      </c>
      <c r="D1063" s="3" t="s">
        <v>775</v>
      </c>
      <c r="E1063" s="8" t="str">
        <f aca="false">HYPERLINK("https://mncourtfraud.com/file/MCRO_27-CR-22-20033_Returned Mail_2023-11-14_20240429162642.pdf","MCRO_27-CR-22-20033_Returned Mail_2023-11-14_20240429162642.pdf")</f>
        <v>MCRO_27-CR-22-20033_Returned Mail_2023-11-14_20240429162642.pdf</v>
      </c>
      <c r="F1063" s="9" t="n">
        <v>45244</v>
      </c>
      <c r="G1063" s="1" t="s">
        <v>872</v>
      </c>
      <c r="H1063" s="3" t="s">
        <v>873</v>
      </c>
      <c r="I1063" s="3" t="s">
        <v>874</v>
      </c>
    </row>
    <row r="1064" customFormat="false" ht="18.7" hidden="false" customHeight="true" outlineLevel="0" collapsed="false">
      <c r="A1064" s="1" t="n">
        <v>1063</v>
      </c>
      <c r="B1064" s="7" t="str">
        <f aca="false">HYPERLINK("https://mncourtfraud.com/file/ADN-29.zip","ADN-29.zip")</f>
        <v>ADN-29.zip</v>
      </c>
      <c r="C1064" s="8" t="str">
        <f aca="false">HYPERLINK("https://mncourtfraud.com/file/27-CR-20-3244.pdf","27-CR-20-3244")</f>
        <v>27-CR-20-3244</v>
      </c>
      <c r="D1064" s="3" t="s">
        <v>796</v>
      </c>
      <c r="E1064" s="8" t="str">
        <f aca="false">HYPERLINK("https://mncourtfraud.com/file/MCRO_27-CR-20-3244_Returned Mail_2023-11-14_20240430084959.pdf","MCRO_27-CR-20-3244_Returned Mail_2023-11-14_20240430084959.pdf")</f>
        <v>MCRO_27-CR-20-3244_Returned Mail_2023-11-14_20240430084959.pdf</v>
      </c>
      <c r="F1064" s="9" t="n">
        <v>45244</v>
      </c>
      <c r="G1064" s="1" t="s">
        <v>872</v>
      </c>
      <c r="H1064" s="3" t="s">
        <v>873</v>
      </c>
      <c r="I1064" s="3" t="s">
        <v>874</v>
      </c>
    </row>
    <row r="1065" customFormat="false" ht="18.7" hidden="false" customHeight="true" outlineLevel="0" collapsed="false">
      <c r="A1065" s="1" t="n">
        <v>1064</v>
      </c>
      <c r="F1065" s="9"/>
    </row>
    <row r="1066" customFormat="false" ht="18.7" hidden="false" customHeight="true" outlineLevel="0" collapsed="false">
      <c r="A1066" s="1" t="n">
        <v>1065</v>
      </c>
      <c r="B1066" s="7" t="str">
        <f aca="false">HYPERLINK("https://mncourtfraud.com/file/ADN-30.zip","ADN-30.zip")</f>
        <v>ADN-30.zip</v>
      </c>
      <c r="C1066" s="8" t="str">
        <f aca="false">HYPERLINK("https://mncourtfraud.com/file/27-CR-20-3244.pdf","27-CR-20-3244")</f>
        <v>27-CR-20-3244</v>
      </c>
      <c r="D1066" s="3" t="s">
        <v>796</v>
      </c>
      <c r="E1066" s="8" t="str">
        <f aca="false">HYPERLINK("https://mncourtfraud.com/file/MCRO_27-CR-20-3244_Order to Appear_2024-04-11_20240430084951.pdf","MCRO_27-CR-20-3244_Order to Appear_2024-04-11_20240430084951.pdf")</f>
        <v>MCRO_27-CR-20-3244_Order to Appear_2024-04-11_20240430084951.pdf</v>
      </c>
      <c r="F1066" s="9" t="n">
        <v>45393</v>
      </c>
      <c r="G1066" s="1" t="s">
        <v>875</v>
      </c>
      <c r="H1066" s="3" t="s">
        <v>876</v>
      </c>
      <c r="I1066" s="3" t="s">
        <v>877</v>
      </c>
    </row>
    <row r="1067" customFormat="false" ht="18.7" hidden="false" customHeight="true" outlineLevel="0" collapsed="false">
      <c r="A1067" s="1" t="n">
        <v>1066</v>
      </c>
      <c r="B1067" s="7" t="str">
        <f aca="false">HYPERLINK("https://mncourtfraud.com/file/ADN-30.zip","ADN-30.zip")</f>
        <v>ADN-30.zip</v>
      </c>
      <c r="C1067" s="8" t="str">
        <f aca="false">HYPERLINK("https://mncourtfraud.com/file/27-CR-20-3244.pdf","27-CR-20-3244")</f>
        <v>27-CR-20-3244</v>
      </c>
      <c r="D1067" s="3" t="s">
        <v>796</v>
      </c>
      <c r="E1067" s="8" t="str">
        <f aca="false">HYPERLINK("https://mncourtfraud.com/file/MCRO_27-CR-20-3244_Proposed Order or Document_2024-04-11_20240430084954.pdf","MCRO_27-CR-20-3244_Proposed Order or Document_2024-04-11_20240430084954.pdf")</f>
        <v>MCRO_27-CR-20-3244_Proposed Order or Document_2024-04-11_20240430084954.pdf</v>
      </c>
      <c r="F1067" s="9" t="n">
        <v>45393</v>
      </c>
      <c r="G1067" s="1" t="s">
        <v>875</v>
      </c>
      <c r="H1067" s="3" t="s">
        <v>876</v>
      </c>
      <c r="I1067" s="3" t="s">
        <v>878</v>
      </c>
    </row>
    <row r="1068" customFormat="false" ht="18.7" hidden="false" customHeight="true" outlineLevel="0" collapsed="false">
      <c r="A1068" s="1" t="n">
        <v>1067</v>
      </c>
      <c r="F1068" s="9"/>
    </row>
    <row r="1069" customFormat="false" ht="18.7" hidden="false" customHeight="true" outlineLevel="0" collapsed="false">
      <c r="A1069" s="1" t="n">
        <v>1068</v>
      </c>
      <c r="F1069" s="9"/>
    </row>
    <row r="1070" customFormat="false" ht="18.7" hidden="false" customHeight="true" outlineLevel="0" collapsed="false">
      <c r="A1070" s="1" t="n">
        <v>1069</v>
      </c>
      <c r="B1070" s="7" t="str">
        <f aca="false">HYPERLINK("https://mncourtfraud.com/file/EGK-1.zip","EGK-1.zip")</f>
        <v>EGK-1.zip</v>
      </c>
      <c r="C1070" s="8" t="str">
        <f aca="false">HYPERLINK("https://mncourtfraud.com/file/27-CR-19-901.pdf","27-CR-19-901")</f>
        <v>27-CR-19-901</v>
      </c>
      <c r="D1070" s="3" t="s">
        <v>879</v>
      </c>
      <c r="E1070" s="8" t="str">
        <f aca="false">HYPERLINK("https://mncourtfraud.com/file/MCRO_27-CR-19-901_Notice of Remote Hearing with Instructions_2021-03-08_20240430091124.pdf","MCRO_27-CR-19-901_Notice of Remote Hearing with Instructions_2021-03-08_20240430091124.pdf")</f>
        <v>MCRO_27-CR-19-901_Notice of Remote Hearing with Instructions_2021-03-08_20240430091124.pdf</v>
      </c>
      <c r="F1070" s="9" t="n">
        <v>44263</v>
      </c>
      <c r="G1070" s="1" t="s">
        <v>880</v>
      </c>
      <c r="H1070" s="3" t="s">
        <v>881</v>
      </c>
      <c r="I1070" s="3" t="s">
        <v>882</v>
      </c>
    </row>
    <row r="1071" customFormat="false" ht="18.7" hidden="false" customHeight="true" outlineLevel="0" collapsed="false">
      <c r="A1071" s="1" t="n">
        <v>1070</v>
      </c>
      <c r="B1071" s="7" t="str">
        <f aca="false">HYPERLINK("https://mncourtfraud.com/file/EGK-1.zip","EGK-1.zip")</f>
        <v>EGK-1.zip</v>
      </c>
      <c r="C1071" s="8" t="str">
        <f aca="false">HYPERLINK("https://mncourtfraud.com/file/27-CR-20-13495.pdf","27-CR-20-13495")</f>
        <v>27-CR-20-13495</v>
      </c>
      <c r="D1071" s="3" t="s">
        <v>879</v>
      </c>
      <c r="E1071" s="8" t="str">
        <f aca="false">HYPERLINK("https://mncourtfraud.com/file/MCRO_27-CR-20-13495_Notice of Remote Hearing with Instructions_2021-03-08_20240430090004.pdf","MCRO_27-CR-20-13495_Notice of Remote Hearing with Instructions_2021-03-08_20240430090004.pdf")</f>
        <v>MCRO_27-CR-20-13495_Notice of Remote Hearing with Instructions_2021-03-08_20240430090004.pdf</v>
      </c>
      <c r="F1071" s="9" t="n">
        <v>44263</v>
      </c>
      <c r="G1071" s="1" t="s">
        <v>880</v>
      </c>
      <c r="H1071" s="3" t="s">
        <v>881</v>
      </c>
      <c r="I1071" s="3" t="s">
        <v>883</v>
      </c>
    </row>
    <row r="1072" customFormat="false" ht="18.7" hidden="false" customHeight="true" outlineLevel="0" collapsed="false">
      <c r="A1072" s="1" t="n">
        <v>1071</v>
      </c>
      <c r="F1072" s="9"/>
    </row>
    <row r="1073" customFormat="false" ht="18.7" hidden="false" customHeight="true" outlineLevel="0" collapsed="false">
      <c r="A1073" s="1" t="n">
        <v>1072</v>
      </c>
      <c r="B1073" s="7" t="str">
        <f aca="false">HYPERLINK("https://mncourtfraud.com/file/EGK-2.zip","EGK-2.zip")</f>
        <v>EGK-2.zip</v>
      </c>
      <c r="C1073" s="8" t="str">
        <f aca="false">HYPERLINK("https://mncourtfraud.com/file/27-CR-19-901.pdf","27-CR-19-901")</f>
        <v>27-CR-19-901</v>
      </c>
      <c r="D1073" s="3" t="s">
        <v>879</v>
      </c>
      <c r="E1073" s="8" t="str">
        <f aca="false">HYPERLINK("https://mncourtfraud.com/file/MCRO_27-CR-19-901_Notice of Remote Hearing with Instructions_2021-11-01_20240430091120.pdf","MCRO_27-CR-19-901_Notice of Remote Hearing with Instructions_2021-11-01_20240430091120.pdf")</f>
        <v>MCRO_27-CR-19-901_Notice of Remote Hearing with Instructions_2021-11-01_20240430091120.pdf</v>
      </c>
      <c r="F1073" s="9" t="n">
        <v>44501</v>
      </c>
      <c r="G1073" s="1" t="s">
        <v>884</v>
      </c>
      <c r="H1073" s="3" t="s">
        <v>885</v>
      </c>
      <c r="I1073" s="3" t="s">
        <v>886</v>
      </c>
    </row>
    <row r="1074" customFormat="false" ht="18.7" hidden="false" customHeight="true" outlineLevel="0" collapsed="false">
      <c r="A1074" s="1" t="n">
        <v>1073</v>
      </c>
      <c r="B1074" s="7" t="str">
        <f aca="false">HYPERLINK("https://mncourtfraud.com/file/EGK-2.zip","EGK-2.zip")</f>
        <v>EGK-2.zip</v>
      </c>
      <c r="C1074" s="8" t="str">
        <f aca="false">HYPERLINK("https://mncourtfraud.com/file/27-CR-20-13495.pdf","27-CR-20-13495")</f>
        <v>27-CR-20-13495</v>
      </c>
      <c r="D1074" s="3" t="s">
        <v>879</v>
      </c>
      <c r="E1074" s="8" t="str">
        <f aca="false">HYPERLINK("https://mncourtfraud.com/file/MCRO_27-CR-20-13495_Notice of Remote Hearing with Instructions_2021-11-01_20240430085948.pdf","MCRO_27-CR-20-13495_Notice of Remote Hearing with Instructions_2021-11-01_20240430085948.pdf")</f>
        <v>MCRO_27-CR-20-13495_Notice of Remote Hearing with Instructions_2021-11-01_20240430085948.pdf</v>
      </c>
      <c r="F1074" s="9" t="n">
        <v>44501</v>
      </c>
      <c r="G1074" s="1" t="s">
        <v>884</v>
      </c>
      <c r="H1074" s="3" t="s">
        <v>885</v>
      </c>
      <c r="I1074" s="3" t="s">
        <v>886</v>
      </c>
    </row>
    <row r="1075" customFormat="false" ht="18.7" hidden="false" customHeight="true" outlineLevel="0" collapsed="false">
      <c r="A1075" s="1" t="n">
        <v>1074</v>
      </c>
      <c r="F1075" s="9"/>
    </row>
    <row r="1076" customFormat="false" ht="18.7" hidden="false" customHeight="true" outlineLevel="0" collapsed="false">
      <c r="A1076" s="1" t="n">
        <v>1075</v>
      </c>
      <c r="B1076" s="7" t="str">
        <f aca="false">HYPERLINK("https://mncourtfraud.com/file/EGK-3.zip","EGK-3.zip")</f>
        <v>EGK-3.zip</v>
      </c>
      <c r="C1076" s="8" t="str">
        <f aca="false">HYPERLINK("https://mncourtfraud.com/file/27-CR-19-901.pdf","27-CR-19-901")</f>
        <v>27-CR-19-901</v>
      </c>
      <c r="D1076" s="3" t="s">
        <v>879</v>
      </c>
      <c r="E1076" s="8" t="str">
        <f aca="false">HYPERLINK("https://mncourtfraud.com/file/MCRO_27-CR-19-901_Notice of Remote Hearing with Instructions_2021-11-02_20240430091119.pdf","MCRO_27-CR-19-901_Notice of Remote Hearing with Instructions_2021-11-02_20240430091119.pdf")</f>
        <v>MCRO_27-CR-19-901_Notice of Remote Hearing with Instructions_2021-11-02_20240430091119.pdf</v>
      </c>
      <c r="F1076" s="9" t="n">
        <v>44502</v>
      </c>
      <c r="G1076" s="1" t="s">
        <v>887</v>
      </c>
      <c r="H1076" s="3" t="s">
        <v>888</v>
      </c>
      <c r="I1076" s="3" t="s">
        <v>889</v>
      </c>
    </row>
    <row r="1077" customFormat="false" ht="18.7" hidden="false" customHeight="true" outlineLevel="0" collapsed="false">
      <c r="A1077" s="1" t="n">
        <v>1076</v>
      </c>
      <c r="B1077" s="7" t="str">
        <f aca="false">HYPERLINK("https://mncourtfraud.com/file/EGK-3.zip","EGK-3.zip")</f>
        <v>EGK-3.zip</v>
      </c>
      <c r="C1077" s="8" t="str">
        <f aca="false">HYPERLINK("https://mncourtfraud.com/file/27-CR-20-13495.pdf","27-CR-20-13495")</f>
        <v>27-CR-20-13495</v>
      </c>
      <c r="D1077" s="3" t="s">
        <v>879</v>
      </c>
      <c r="E1077" s="8" t="str">
        <f aca="false">HYPERLINK("https://mncourtfraud.com/file/MCRO_27-CR-20-13495_Notice of Remote Hearing with Instructions_2021-11-02_20240430085947.pdf","MCRO_27-CR-20-13495_Notice of Remote Hearing with Instructions_2021-11-02_20240430085947.pdf")</f>
        <v>MCRO_27-CR-20-13495_Notice of Remote Hearing with Instructions_2021-11-02_20240430085947.pdf</v>
      </c>
      <c r="F1077" s="9" t="n">
        <v>44502</v>
      </c>
      <c r="G1077" s="1" t="s">
        <v>887</v>
      </c>
      <c r="H1077" s="3" t="s">
        <v>888</v>
      </c>
      <c r="I1077" s="3" t="s">
        <v>889</v>
      </c>
    </row>
    <row r="1078" customFormat="false" ht="18.7" hidden="false" customHeight="true" outlineLevel="0" collapsed="false">
      <c r="A1078" s="1" t="n">
        <v>1077</v>
      </c>
      <c r="F1078" s="9"/>
    </row>
    <row r="1079" customFormat="false" ht="18.7" hidden="false" customHeight="true" outlineLevel="0" collapsed="false">
      <c r="A1079" s="1" t="n">
        <v>1078</v>
      </c>
      <c r="B1079" s="7" t="str">
        <f aca="false">HYPERLINK("https://mncourtfraud.com/file/EGK-4.zip","EGK-4.zip")</f>
        <v>EGK-4.zip</v>
      </c>
      <c r="C1079" s="8" t="str">
        <f aca="false">HYPERLINK("https://mncourtfraud.com/file/27-CR-19-901.pdf","27-CR-19-901")</f>
        <v>27-CR-19-901</v>
      </c>
      <c r="D1079" s="3" t="s">
        <v>879</v>
      </c>
      <c r="E1079" s="8" t="str">
        <f aca="false">HYPERLINK("https://mncourtfraud.com/file/MCRO_27-CR-19-901_Notice of Hearing_2021-12-30_20240430091117.pdf","MCRO_27-CR-19-901_Notice of Hearing_2021-12-30_20240430091117.pdf")</f>
        <v>MCRO_27-CR-19-901_Notice of Hearing_2021-12-30_20240430091117.pdf</v>
      </c>
      <c r="F1079" s="9" t="n">
        <v>44560</v>
      </c>
      <c r="G1079" s="1" t="s">
        <v>890</v>
      </c>
      <c r="H1079" s="3" t="s">
        <v>891</v>
      </c>
      <c r="I1079" s="3" t="s">
        <v>892</v>
      </c>
    </row>
    <row r="1080" customFormat="false" ht="18.7" hidden="false" customHeight="true" outlineLevel="0" collapsed="false">
      <c r="A1080" s="1" t="n">
        <v>1079</v>
      </c>
      <c r="B1080" s="7" t="str">
        <f aca="false">HYPERLINK("https://mncourtfraud.com/file/EGK-4.zip","EGK-4.zip")</f>
        <v>EGK-4.zip</v>
      </c>
      <c r="C1080" s="8" t="str">
        <f aca="false">HYPERLINK("https://mncourtfraud.com/file/27-CR-20-13495.pdf","27-CR-20-13495")</f>
        <v>27-CR-20-13495</v>
      </c>
      <c r="D1080" s="3" t="s">
        <v>879</v>
      </c>
      <c r="E1080" s="8" t="str">
        <f aca="false">HYPERLINK("https://mncourtfraud.com/file/MCRO_27-CR-20-13495_Notice of Hearing_2021-12-30_20240430085944.pdf","MCRO_27-CR-20-13495_Notice of Hearing_2021-12-30_20240430085944.pdf")</f>
        <v>MCRO_27-CR-20-13495_Notice of Hearing_2021-12-30_20240430085944.pdf</v>
      </c>
      <c r="F1080" s="9" t="n">
        <v>44560</v>
      </c>
      <c r="G1080" s="1" t="s">
        <v>890</v>
      </c>
      <c r="H1080" s="3" t="s">
        <v>891</v>
      </c>
      <c r="I1080" s="3" t="s">
        <v>892</v>
      </c>
    </row>
    <row r="1081" customFormat="false" ht="18.7" hidden="false" customHeight="true" outlineLevel="0" collapsed="false">
      <c r="A1081" s="1" t="n">
        <v>1080</v>
      </c>
      <c r="F1081" s="9"/>
    </row>
    <row r="1082" customFormat="false" ht="18.7" hidden="false" customHeight="true" outlineLevel="0" collapsed="false">
      <c r="A1082" s="1" t="n">
        <v>1081</v>
      </c>
      <c r="B1082" s="7" t="str">
        <f aca="false">HYPERLINK("https://mncourtfraud.com/file/EGK-5.zip","EGK-5.zip")</f>
        <v>EGK-5.zip</v>
      </c>
      <c r="C1082" s="8" t="str">
        <f aca="false">HYPERLINK("https://mncourtfraud.com/file/27-CR-20-13495.pdf","27-CR-20-13495")</f>
        <v>27-CR-20-13495</v>
      </c>
      <c r="D1082" s="3" t="s">
        <v>879</v>
      </c>
      <c r="E1082" s="8" t="str">
        <f aca="false">HYPERLINK("https://mncourtfraud.com/file/MCRO_27-CR-20-13495_Order Revoking Interim Conditions of Release_2022-03-03_20240430085942.pdf","MCRO_27-CR-20-13495_Order Revoking Interim Conditions of Release_2022-03-03_20240430085942.pdf")</f>
        <v>MCRO_27-CR-20-13495_Order Revoking Interim Conditions of Release_2022-03-03_20240430085942.pdf</v>
      </c>
      <c r="F1082" s="9" t="n">
        <v>44623</v>
      </c>
      <c r="G1082" s="1" t="s">
        <v>893</v>
      </c>
      <c r="H1082" s="3" t="s">
        <v>894</v>
      </c>
      <c r="I1082" s="3" t="s">
        <v>895</v>
      </c>
    </row>
    <row r="1083" customFormat="false" ht="18.7" hidden="false" customHeight="true" outlineLevel="0" collapsed="false">
      <c r="A1083" s="1" t="n">
        <v>1082</v>
      </c>
      <c r="B1083" s="7" t="str">
        <f aca="false">HYPERLINK("https://mncourtfraud.com/file/EGK-5.zip","EGK-5.zip")</f>
        <v>EGK-5.zip</v>
      </c>
      <c r="C1083" s="8" t="str">
        <f aca="false">HYPERLINK("https://mncourtfraud.com/file/27-CR-20-13495.pdf","27-CR-20-13495")</f>
        <v>27-CR-20-13495</v>
      </c>
      <c r="D1083" s="3" t="s">
        <v>879</v>
      </c>
      <c r="E1083" s="8" t="str">
        <f aca="false">HYPERLINK("https://mncourtfraud.com/file/MCRO_27-CR-20-13495_Proposed Order or Document_2022-03-03_20240430085943.pdf","MCRO_27-CR-20-13495_Proposed Order or Document_2022-03-03_20240430085943.pdf")</f>
        <v>MCRO_27-CR-20-13495_Proposed Order or Document_2022-03-03_20240430085943.pdf</v>
      </c>
      <c r="F1083" s="9" t="n">
        <v>44623</v>
      </c>
      <c r="G1083" s="1" t="s">
        <v>893</v>
      </c>
      <c r="H1083" s="3" t="s">
        <v>894</v>
      </c>
      <c r="I1083" s="3" t="s">
        <v>896</v>
      </c>
    </row>
    <row r="1084" customFormat="false" ht="18.7" hidden="false" customHeight="true" outlineLevel="0" collapsed="false">
      <c r="A1084" s="1" t="n">
        <v>1083</v>
      </c>
      <c r="F1084" s="9"/>
    </row>
    <row r="1085" customFormat="false" ht="18.7" hidden="false" customHeight="true" outlineLevel="0" collapsed="false">
      <c r="A1085" s="1" t="n">
        <v>1084</v>
      </c>
      <c r="B1085" s="7" t="str">
        <f aca="false">HYPERLINK("https://mncourtfraud.com/file/EGK-6.zip","EGK-6.zip")</f>
        <v>EGK-6.zip</v>
      </c>
      <c r="C1085" s="8" t="str">
        <f aca="false">HYPERLINK("https://mncourtfraud.com/file/27-CR-19-901.pdf","27-CR-19-901")</f>
        <v>27-CR-19-901</v>
      </c>
      <c r="D1085" s="3" t="s">
        <v>879</v>
      </c>
      <c r="E1085" s="8" t="str">
        <f aca="false">HYPERLINK("https://mncourtfraud.com/file/MCRO_27-CR-19-901_Notice of Remote Hearing with Instructions_2022-03-22_20240430091116.pdf","MCRO_27-CR-19-901_Notice of Remote Hearing with Instructions_2022-03-22_20240430091116.pdf")</f>
        <v>MCRO_27-CR-19-901_Notice of Remote Hearing with Instructions_2022-03-22_20240430091116.pdf</v>
      </c>
      <c r="F1085" s="9" t="n">
        <v>44642</v>
      </c>
      <c r="G1085" s="1" t="s">
        <v>897</v>
      </c>
      <c r="H1085" s="3" t="s">
        <v>898</v>
      </c>
      <c r="I1085" s="3" t="s">
        <v>899</v>
      </c>
    </row>
    <row r="1086" customFormat="false" ht="18.7" hidden="false" customHeight="true" outlineLevel="0" collapsed="false">
      <c r="A1086" s="1" t="n">
        <v>1085</v>
      </c>
      <c r="B1086" s="7" t="str">
        <f aca="false">HYPERLINK("https://mncourtfraud.com/file/EGK-6.zip","EGK-6.zip")</f>
        <v>EGK-6.zip</v>
      </c>
      <c r="C1086" s="8" t="str">
        <f aca="false">HYPERLINK("https://mncourtfraud.com/file/27-CR-20-13495.pdf","27-CR-20-13495")</f>
        <v>27-CR-20-13495</v>
      </c>
      <c r="D1086" s="3" t="s">
        <v>879</v>
      </c>
      <c r="E1086" s="8" t="str">
        <f aca="false">HYPERLINK("https://mncourtfraud.com/file/MCRO_27-CR-20-13495_Notice of Remote Hearing with Instructions_2022-03-22_20240430085941.pdf","MCRO_27-CR-20-13495_Notice of Remote Hearing with Instructions_2022-03-22_20240430085941.pdf")</f>
        <v>MCRO_27-CR-20-13495_Notice of Remote Hearing with Instructions_2022-03-22_20240430085941.pdf</v>
      </c>
      <c r="F1086" s="9" t="n">
        <v>44642</v>
      </c>
      <c r="G1086" s="1" t="s">
        <v>897</v>
      </c>
      <c r="H1086" s="3" t="s">
        <v>898</v>
      </c>
      <c r="I1086" s="3" t="s">
        <v>899</v>
      </c>
    </row>
    <row r="1087" customFormat="false" ht="18.7" hidden="false" customHeight="true" outlineLevel="0" collapsed="false">
      <c r="A1087" s="1" t="n">
        <v>1086</v>
      </c>
      <c r="F1087" s="9"/>
    </row>
    <row r="1088" customFormat="false" ht="18.7" hidden="false" customHeight="true" outlineLevel="0" collapsed="false">
      <c r="A1088" s="1" t="n">
        <v>1087</v>
      </c>
      <c r="B1088" s="7" t="str">
        <f aca="false">HYPERLINK("https://mncourtfraud.com/file/EGK-7.zip","EGK-7.zip")</f>
        <v>EGK-7.zip</v>
      </c>
      <c r="C1088" s="8" t="str">
        <f aca="false">HYPERLINK("https://mncourtfraud.com/file/27-CR-19-901.pdf","27-CR-19-901")</f>
        <v>27-CR-19-901</v>
      </c>
      <c r="D1088" s="3" t="s">
        <v>879</v>
      </c>
      <c r="E1088" s="8" t="str">
        <f aca="false">HYPERLINK("https://mncourtfraud.com/file/MCRO_27-CR-19-901_Notice of Remote Hearing with Instructions_2022-04-04_20240430091115.pdf","MCRO_27-CR-19-901_Notice of Remote Hearing with Instructions_2022-04-04_20240430091115.pdf")</f>
        <v>MCRO_27-CR-19-901_Notice of Remote Hearing with Instructions_2022-04-04_20240430091115.pdf</v>
      </c>
      <c r="F1088" s="9" t="n">
        <v>44655</v>
      </c>
      <c r="G1088" s="1" t="s">
        <v>900</v>
      </c>
      <c r="H1088" s="3" t="s">
        <v>901</v>
      </c>
      <c r="I1088" s="3" t="s">
        <v>902</v>
      </c>
    </row>
    <row r="1089" customFormat="false" ht="18.7" hidden="false" customHeight="true" outlineLevel="0" collapsed="false">
      <c r="A1089" s="1" t="n">
        <v>1088</v>
      </c>
      <c r="B1089" s="7" t="str">
        <f aca="false">HYPERLINK("https://mncourtfraud.com/file/EGK-7.zip","EGK-7.zip")</f>
        <v>EGK-7.zip</v>
      </c>
      <c r="C1089" s="8" t="str">
        <f aca="false">HYPERLINK("https://mncourtfraud.com/file/27-CR-20-13495.pdf","27-CR-20-13495")</f>
        <v>27-CR-20-13495</v>
      </c>
      <c r="D1089" s="3" t="s">
        <v>879</v>
      </c>
      <c r="E1089" s="8" t="str">
        <f aca="false">HYPERLINK("https://mncourtfraud.com/file/MCRO_27-CR-20-13495_Notice of Remote Hearing with Instructions_2022-04-04_20240430085939.pdf","MCRO_27-CR-20-13495_Notice of Remote Hearing with Instructions_2022-04-04_20240430085939.pdf")</f>
        <v>MCRO_27-CR-20-13495_Notice of Remote Hearing with Instructions_2022-04-04_20240430085939.pdf</v>
      </c>
      <c r="F1089" s="9" t="n">
        <v>44655</v>
      </c>
      <c r="G1089" s="1" t="s">
        <v>900</v>
      </c>
      <c r="H1089" s="3" t="s">
        <v>903</v>
      </c>
      <c r="I1089" s="3" t="s">
        <v>904</v>
      </c>
    </row>
    <row r="1090" customFormat="false" ht="18.7" hidden="false" customHeight="true" outlineLevel="0" collapsed="false">
      <c r="A1090" s="1" t="n">
        <v>1089</v>
      </c>
      <c r="F1090" s="9"/>
    </row>
    <row r="1091" customFormat="false" ht="18.7" hidden="false" customHeight="true" outlineLevel="0" collapsed="false">
      <c r="A1091" s="1" t="n">
        <v>1090</v>
      </c>
      <c r="B1091" s="7" t="str">
        <f aca="false">HYPERLINK("https://mncourtfraud.com/file/EGK-8.zip","EGK-8.zip")</f>
        <v>EGK-8.zip</v>
      </c>
      <c r="C1091" s="8" t="str">
        <f aca="false">HYPERLINK("https://mncourtfraud.com/file/27-CR-19-901.pdf","27-CR-19-901")</f>
        <v>27-CR-19-901</v>
      </c>
      <c r="D1091" s="3" t="s">
        <v>879</v>
      </c>
      <c r="E1091" s="8" t="str">
        <f aca="false">HYPERLINK("https://mncourtfraud.com/file/MCRO_27-CR-19-901_Notice of Remote Hearing with Instructions_2022-04-12_20240430091114.pdf","MCRO_27-CR-19-901_Notice of Remote Hearing with Instructions_2022-04-12_20240430091114.pdf")</f>
        <v>MCRO_27-CR-19-901_Notice of Remote Hearing with Instructions_2022-04-12_20240430091114.pdf</v>
      </c>
      <c r="F1091" s="9" t="n">
        <v>44663</v>
      </c>
      <c r="G1091" s="1" t="s">
        <v>905</v>
      </c>
      <c r="H1091" s="3" t="s">
        <v>906</v>
      </c>
      <c r="I1091" s="3" t="s">
        <v>907</v>
      </c>
    </row>
    <row r="1092" customFormat="false" ht="18.7" hidden="false" customHeight="true" outlineLevel="0" collapsed="false">
      <c r="A1092" s="1" t="n">
        <v>1091</v>
      </c>
      <c r="B1092" s="7" t="str">
        <f aca="false">HYPERLINK("https://mncourtfraud.com/file/EGK-8.zip","EGK-8.zip")</f>
        <v>EGK-8.zip</v>
      </c>
      <c r="C1092" s="8" t="str">
        <f aca="false">HYPERLINK("https://mncourtfraud.com/file/27-CR-20-13495.pdf","27-CR-20-13495")</f>
        <v>27-CR-20-13495</v>
      </c>
      <c r="D1092" s="3" t="s">
        <v>879</v>
      </c>
      <c r="E1092" s="8" t="str">
        <f aca="false">HYPERLINK("https://mncourtfraud.com/file/MCRO_27-CR-20-13495_Notice of Remote Hearing with Instructions_2022-04-12_20240430085935.pdf","MCRO_27-CR-20-13495_Notice of Remote Hearing with Instructions_2022-04-12_20240430085935.pdf")</f>
        <v>MCRO_27-CR-20-13495_Notice of Remote Hearing with Instructions_2022-04-12_20240430085935.pdf</v>
      </c>
      <c r="F1092" s="9" t="n">
        <v>44663</v>
      </c>
      <c r="G1092" s="1" t="s">
        <v>905</v>
      </c>
      <c r="H1092" s="3" t="s">
        <v>906</v>
      </c>
      <c r="I1092" s="3" t="s">
        <v>907</v>
      </c>
    </row>
    <row r="1093" customFormat="false" ht="18.7" hidden="false" customHeight="true" outlineLevel="0" collapsed="false">
      <c r="A1093" s="1" t="n">
        <v>1092</v>
      </c>
      <c r="F1093" s="9"/>
    </row>
    <row r="1094" customFormat="false" ht="18.7" hidden="false" customHeight="true" outlineLevel="0" collapsed="false">
      <c r="A1094" s="1" t="n">
        <v>1093</v>
      </c>
      <c r="B1094" s="7" t="str">
        <f aca="false">HYPERLINK("https://mncourtfraud.com/file/EGK-9.zip","EGK-9.zip")</f>
        <v>EGK-9.zip</v>
      </c>
      <c r="C1094" s="8" t="str">
        <f aca="false">HYPERLINK("https://mncourtfraud.com/file/27-CR-19-901.pdf","27-CR-19-901")</f>
        <v>27-CR-19-901</v>
      </c>
      <c r="D1094" s="3" t="s">
        <v>879</v>
      </c>
      <c r="E1094" s="8" t="str">
        <f aca="false">HYPERLINK("https://mncourtfraud.com/file/MCRO_27-CR-19-901_Notice of Remote Hearing with Instructions_2022-04-12_20240430091113.pdf","MCRO_27-CR-19-901_Notice of Remote Hearing with Instructions_2022-04-12_20240430091113.pdf")</f>
        <v>MCRO_27-CR-19-901_Notice of Remote Hearing with Instructions_2022-04-12_20240430091113.pdf</v>
      </c>
      <c r="F1094" s="9" t="n">
        <v>44663</v>
      </c>
      <c r="G1094" s="1" t="s">
        <v>908</v>
      </c>
      <c r="H1094" s="3" t="s">
        <v>909</v>
      </c>
      <c r="I1094" s="3" t="s">
        <v>910</v>
      </c>
    </row>
    <row r="1095" customFormat="false" ht="18.7" hidden="false" customHeight="true" outlineLevel="0" collapsed="false">
      <c r="A1095" s="1" t="n">
        <v>1094</v>
      </c>
      <c r="B1095" s="7" t="str">
        <f aca="false">HYPERLINK("https://mncourtfraud.com/file/EGK-9.zip","EGK-9.zip")</f>
        <v>EGK-9.zip</v>
      </c>
      <c r="C1095" s="8" t="str">
        <f aca="false">HYPERLINK("https://mncourtfraud.com/file/27-CR-20-13495.pdf","27-CR-20-13495")</f>
        <v>27-CR-20-13495</v>
      </c>
      <c r="D1095" s="3" t="s">
        <v>879</v>
      </c>
      <c r="E1095" s="8" t="str">
        <f aca="false">HYPERLINK("https://mncourtfraud.com/file/MCRO_27-CR-20-13495_Notice of Remote Hearing with Instructions_2022-04-12_20240430085934.pdf","MCRO_27-CR-20-13495_Notice of Remote Hearing with Instructions_2022-04-12_20240430085934.pdf")</f>
        <v>MCRO_27-CR-20-13495_Notice of Remote Hearing with Instructions_2022-04-12_20240430085934.pdf</v>
      </c>
      <c r="F1095" s="9" t="n">
        <v>44663</v>
      </c>
      <c r="G1095" s="1" t="s">
        <v>908</v>
      </c>
      <c r="H1095" s="3" t="s">
        <v>909</v>
      </c>
      <c r="I1095" s="3" t="s">
        <v>910</v>
      </c>
    </row>
    <row r="1096" customFormat="false" ht="18.7" hidden="false" customHeight="true" outlineLevel="0" collapsed="false">
      <c r="A1096" s="1" t="n">
        <v>1095</v>
      </c>
      <c r="F1096" s="9"/>
    </row>
    <row r="1097" customFormat="false" ht="18.7" hidden="false" customHeight="true" outlineLevel="0" collapsed="false">
      <c r="A1097" s="1" t="n">
        <v>1096</v>
      </c>
      <c r="B1097" s="7" t="str">
        <f aca="false">HYPERLINK("https://mncourtfraud.com/file/EGK-10.zip","EGK-10.zip")</f>
        <v>EGK-10.zip</v>
      </c>
      <c r="C1097" s="8" t="str">
        <f aca="false">HYPERLINK("https://mncourtfraud.com/file/27-CR-19-901.pdf","27-CR-19-901")</f>
        <v>27-CR-19-901</v>
      </c>
      <c r="D1097" s="3" t="s">
        <v>879</v>
      </c>
      <c r="E1097" s="8" t="str">
        <f aca="false">HYPERLINK("https://mncourtfraud.com/file/MCRO_27-CR-19-901_Notice of Remote Hearing with Instructions_2022-04-26_20240430091111.pdf","MCRO_27-CR-19-901_Notice of Remote Hearing with Instructions_2022-04-26_20240430091111.pdf")</f>
        <v>MCRO_27-CR-19-901_Notice of Remote Hearing with Instructions_2022-04-26_20240430091111.pdf</v>
      </c>
      <c r="F1097" s="9" t="n">
        <v>44677</v>
      </c>
      <c r="G1097" s="1" t="s">
        <v>911</v>
      </c>
      <c r="H1097" s="3" t="s">
        <v>912</v>
      </c>
      <c r="I1097" s="3" t="s">
        <v>913</v>
      </c>
    </row>
    <row r="1098" customFormat="false" ht="18.7" hidden="false" customHeight="true" outlineLevel="0" collapsed="false">
      <c r="A1098" s="1" t="n">
        <v>1097</v>
      </c>
      <c r="B1098" s="7" t="str">
        <f aca="false">HYPERLINK("https://mncourtfraud.com/file/EGK-10.zip","EGK-10.zip")</f>
        <v>EGK-10.zip</v>
      </c>
      <c r="C1098" s="8" t="str">
        <f aca="false">HYPERLINK("https://mncourtfraud.com/file/27-CR-20-13495.pdf","27-CR-20-13495")</f>
        <v>27-CR-20-13495</v>
      </c>
      <c r="D1098" s="3" t="s">
        <v>879</v>
      </c>
      <c r="E1098" s="8" t="str">
        <f aca="false">HYPERLINK("https://mncourtfraud.com/file/MCRO_27-CR-20-13495_Notice of Remote Hearing with Instructions_2022-04-26_20240430085930.pdf","MCRO_27-CR-20-13495_Notice of Remote Hearing with Instructions_2022-04-26_20240430085930.pdf")</f>
        <v>MCRO_27-CR-20-13495_Notice of Remote Hearing with Instructions_2022-04-26_20240430085930.pdf</v>
      </c>
      <c r="F1098" s="9" t="n">
        <v>44677</v>
      </c>
      <c r="G1098" s="1" t="s">
        <v>911</v>
      </c>
      <c r="H1098" s="3" t="s">
        <v>912</v>
      </c>
      <c r="I1098" s="3" t="s">
        <v>913</v>
      </c>
    </row>
    <row r="1099" customFormat="false" ht="18.7" hidden="false" customHeight="true" outlineLevel="0" collapsed="false">
      <c r="A1099" s="1" t="n">
        <v>1098</v>
      </c>
      <c r="F1099" s="9"/>
    </row>
    <row r="1100" customFormat="false" ht="18.7" hidden="false" customHeight="true" outlineLevel="0" collapsed="false">
      <c r="A1100" s="1" t="n">
        <v>1099</v>
      </c>
      <c r="B1100" s="7" t="str">
        <f aca="false">HYPERLINK("https://mncourtfraud.com/file/EGK-11.zip","EGK-11.zip")</f>
        <v>EGK-11.zip</v>
      </c>
      <c r="C1100" s="8" t="str">
        <f aca="false">HYPERLINK("https://mncourtfraud.com/file/27-CR-19-901.pdf","27-CR-19-901")</f>
        <v>27-CR-19-901</v>
      </c>
      <c r="D1100" s="3" t="s">
        <v>879</v>
      </c>
      <c r="E1100" s="8" t="str">
        <f aca="false">HYPERLINK("https://mncourtfraud.com/file/MCRO_27-CR-19-901_Notice of Remote Hearing with Instructions_2022-04-26_20240430091112.pdf","MCRO_27-CR-19-901_Notice of Remote Hearing with Instructions_2022-04-26_20240430091112.pdf")</f>
        <v>MCRO_27-CR-19-901_Notice of Remote Hearing with Instructions_2022-04-26_20240430091112.pdf</v>
      </c>
      <c r="F1100" s="9" t="n">
        <v>44677</v>
      </c>
      <c r="G1100" s="1" t="s">
        <v>914</v>
      </c>
      <c r="H1100" s="3" t="s">
        <v>915</v>
      </c>
      <c r="I1100" s="3" t="s">
        <v>916</v>
      </c>
    </row>
    <row r="1101" customFormat="false" ht="18.7" hidden="false" customHeight="true" outlineLevel="0" collapsed="false">
      <c r="A1101" s="1" t="n">
        <v>1100</v>
      </c>
      <c r="B1101" s="7" t="str">
        <f aca="false">HYPERLINK("https://mncourtfraud.com/file/EGK-11.zip","EGK-11.zip")</f>
        <v>EGK-11.zip</v>
      </c>
      <c r="C1101" s="8" t="str">
        <f aca="false">HYPERLINK("https://mncourtfraud.com/file/27-CR-20-13495.pdf","27-CR-20-13495")</f>
        <v>27-CR-20-13495</v>
      </c>
      <c r="D1101" s="3" t="s">
        <v>879</v>
      </c>
      <c r="E1101" s="8" t="str">
        <f aca="false">HYPERLINK("https://mncourtfraud.com/file/MCRO_27-CR-20-13495_Notice of Remote Hearing with Instructions_2022-04-26_20240430085931.pdf","MCRO_27-CR-20-13495_Notice of Remote Hearing with Instructions_2022-04-26_20240430085931.pdf")</f>
        <v>MCRO_27-CR-20-13495_Notice of Remote Hearing with Instructions_2022-04-26_20240430085931.pdf</v>
      </c>
      <c r="F1101" s="9" t="n">
        <v>44677</v>
      </c>
      <c r="G1101" s="1" t="s">
        <v>914</v>
      </c>
      <c r="H1101" s="3" t="s">
        <v>915</v>
      </c>
      <c r="I1101" s="3" t="s">
        <v>916</v>
      </c>
    </row>
    <row r="1102" customFormat="false" ht="18.7" hidden="false" customHeight="true" outlineLevel="0" collapsed="false">
      <c r="A1102" s="1" t="n">
        <v>1101</v>
      </c>
      <c r="F1102" s="9"/>
    </row>
    <row r="1103" customFormat="false" ht="18.7" hidden="false" customHeight="true" outlineLevel="0" collapsed="false">
      <c r="A1103" s="1" t="n">
        <v>1102</v>
      </c>
      <c r="B1103" s="7" t="str">
        <f aca="false">HYPERLINK("https://mncourtfraud.com/file/EGK-12.zip","EGK-12.zip")</f>
        <v>EGK-12.zip</v>
      </c>
      <c r="C1103" s="8" t="str">
        <f aca="false">HYPERLINK("https://mncourtfraud.com/file/27-CR-19-901.pdf","27-CR-19-901")</f>
        <v>27-CR-19-901</v>
      </c>
      <c r="D1103" s="3" t="s">
        <v>879</v>
      </c>
      <c r="E1103" s="8" t="str">
        <f aca="false">HYPERLINK("https://mncourtfraud.com/file/MCRO_27-CR-19-901_Order-Evaluation for Competency to Proceed (Rule 20.01)_2022-05-09_20240430091108.pdf","MCRO_27-CR-19-901_Order-Evaluation for Competency to Proceed (Rule 20.01)_2022-05-09_20240430091108.pdf")</f>
        <v>MCRO_27-CR-19-901_Order-Evaluation for Competency to Proceed (Rule 20.01)_2022-05-09_20240430091108.pdf</v>
      </c>
      <c r="F1103" s="9" t="n">
        <v>44690</v>
      </c>
      <c r="G1103" s="1" t="s">
        <v>917</v>
      </c>
      <c r="H1103" s="3" t="s">
        <v>918</v>
      </c>
      <c r="I1103" s="3" t="s">
        <v>919</v>
      </c>
    </row>
    <row r="1104" customFormat="false" ht="18.7" hidden="false" customHeight="true" outlineLevel="0" collapsed="false">
      <c r="A1104" s="1" t="n">
        <v>1103</v>
      </c>
      <c r="B1104" s="7" t="str">
        <f aca="false">HYPERLINK("https://mncourtfraud.com/file/EGK-12.zip","EGK-12.zip")</f>
        <v>EGK-12.zip</v>
      </c>
      <c r="C1104" s="8" t="str">
        <f aca="false">HYPERLINK("https://mncourtfraud.com/file/27-CR-20-13495.pdf","27-CR-20-13495")</f>
        <v>27-CR-20-13495</v>
      </c>
      <c r="D1104" s="3" t="s">
        <v>879</v>
      </c>
      <c r="E1104" s="8" t="str">
        <f aca="false">HYPERLINK("https://mncourtfraud.com/file/MCRO_27-CR-20-13495_Order-Evaluation for Competency to Proceed (Rule 20.01)_2022-05-09_20240430085926.pdf","MCRO_27-CR-20-13495_Order-Evaluation for Competency to Proceed (Rule 20.01)_2022-05-09_20240430085926.pdf")</f>
        <v>MCRO_27-CR-20-13495_Order-Evaluation for Competency to Proceed (Rule 20.01)_2022-05-09_20240430085926.pdf</v>
      </c>
      <c r="F1104" s="9" t="n">
        <v>44690</v>
      </c>
      <c r="G1104" s="1" t="s">
        <v>917</v>
      </c>
      <c r="H1104" s="3" t="s">
        <v>918</v>
      </c>
      <c r="I1104" s="3" t="s">
        <v>919</v>
      </c>
    </row>
    <row r="1105" customFormat="false" ht="18.7" hidden="false" customHeight="true" outlineLevel="0" collapsed="false">
      <c r="A1105" s="1" t="n">
        <v>1104</v>
      </c>
      <c r="F1105" s="9"/>
    </row>
    <row r="1106" customFormat="false" ht="18.7" hidden="false" customHeight="true" outlineLevel="0" collapsed="false">
      <c r="A1106" s="1" t="n">
        <v>1105</v>
      </c>
      <c r="B1106" s="7" t="str">
        <f aca="false">HYPERLINK("https://mncourtfraud.com/file/EGK-13.zip","EGK-13.zip")</f>
        <v>EGK-13.zip</v>
      </c>
      <c r="C1106" s="8" t="str">
        <f aca="false">HYPERLINK("https://mncourtfraud.com/file/27-CR-19-901.pdf","27-CR-19-901")</f>
        <v>27-CR-19-901</v>
      </c>
      <c r="D1106" s="3" t="s">
        <v>879</v>
      </c>
      <c r="E1106" s="8" t="str">
        <f aca="false">HYPERLINK("https://mncourtfraud.com/file/MCRO_27-CR-19-901_Notice of Remote Hearing with Instructions_2022-05-09_20240430091107.pdf","MCRO_27-CR-19-901_Notice of Remote Hearing with Instructions_2022-05-09_20240430091107.pdf")</f>
        <v>MCRO_27-CR-19-901_Notice of Remote Hearing with Instructions_2022-05-09_20240430091107.pdf</v>
      </c>
      <c r="F1106" s="9" t="n">
        <v>44690</v>
      </c>
      <c r="G1106" s="1" t="s">
        <v>920</v>
      </c>
      <c r="H1106" s="3" t="s">
        <v>921</v>
      </c>
      <c r="I1106" s="3" t="s">
        <v>922</v>
      </c>
    </row>
    <row r="1107" customFormat="false" ht="18.7" hidden="false" customHeight="true" outlineLevel="0" collapsed="false">
      <c r="A1107" s="1" t="n">
        <v>1106</v>
      </c>
      <c r="B1107" s="7" t="str">
        <f aca="false">HYPERLINK("https://mncourtfraud.com/file/EGK-13.zip","EGK-13.zip")</f>
        <v>EGK-13.zip</v>
      </c>
      <c r="C1107" s="8" t="str">
        <f aca="false">HYPERLINK("https://mncourtfraud.com/file/27-CR-20-13495.pdf","27-CR-20-13495")</f>
        <v>27-CR-20-13495</v>
      </c>
      <c r="D1107" s="3" t="s">
        <v>879</v>
      </c>
      <c r="E1107" s="8" t="str">
        <f aca="false">HYPERLINK("https://mncourtfraud.com/file/MCRO_27-CR-20-13495_Notice of Remote Hearing with Instructions_2022-05-09_20240430085925.pdf","MCRO_27-CR-20-13495_Notice of Remote Hearing with Instructions_2022-05-09_20240430085925.pdf")</f>
        <v>MCRO_27-CR-20-13495_Notice of Remote Hearing with Instructions_2022-05-09_20240430085925.pdf</v>
      </c>
      <c r="F1107" s="9" t="n">
        <v>44690</v>
      </c>
      <c r="G1107" s="1" t="s">
        <v>920</v>
      </c>
      <c r="H1107" s="3" t="s">
        <v>921</v>
      </c>
      <c r="I1107" s="3" t="s">
        <v>922</v>
      </c>
    </row>
    <row r="1108" customFormat="false" ht="18.7" hidden="false" customHeight="true" outlineLevel="0" collapsed="false">
      <c r="A1108" s="1" t="n">
        <v>1107</v>
      </c>
      <c r="F1108" s="9"/>
    </row>
    <row r="1109" customFormat="false" ht="18.7" hidden="false" customHeight="true" outlineLevel="0" collapsed="false">
      <c r="A1109" s="1" t="n">
        <v>1108</v>
      </c>
      <c r="B1109" s="7" t="str">
        <f aca="false">HYPERLINK("https://mncourtfraud.com/file/EGK-14.zip","EGK-14.zip")</f>
        <v>EGK-14.zip</v>
      </c>
      <c r="C1109" s="8" t="str">
        <f aca="false">HYPERLINK("https://mncourtfraud.com/file/27-CR-19-901.pdf","27-CR-19-901")</f>
        <v>27-CR-19-901</v>
      </c>
      <c r="D1109" s="3" t="s">
        <v>879</v>
      </c>
      <c r="E1109" s="8" t="str">
        <f aca="false">HYPERLINK("https://mncourtfraud.com/file/MCRO_27-CR-19-901_Notice of Remote Hearing with Instructions_2022-05-09_20240430091106.pdf","MCRO_27-CR-19-901_Notice of Remote Hearing with Instructions_2022-05-09_20240430091106.pdf")</f>
        <v>MCRO_27-CR-19-901_Notice of Remote Hearing with Instructions_2022-05-09_20240430091106.pdf</v>
      </c>
      <c r="F1109" s="9" t="n">
        <v>44690</v>
      </c>
      <c r="G1109" s="1" t="s">
        <v>923</v>
      </c>
      <c r="H1109" s="3" t="s">
        <v>924</v>
      </c>
      <c r="I1109" s="3" t="s">
        <v>925</v>
      </c>
    </row>
    <row r="1110" customFormat="false" ht="18.7" hidden="false" customHeight="true" outlineLevel="0" collapsed="false">
      <c r="A1110" s="1" t="n">
        <v>1109</v>
      </c>
      <c r="B1110" s="7" t="str">
        <f aca="false">HYPERLINK("https://mncourtfraud.com/file/EGK-14.zip","EGK-14.zip")</f>
        <v>EGK-14.zip</v>
      </c>
      <c r="C1110" s="8" t="str">
        <f aca="false">HYPERLINK("https://mncourtfraud.com/file/27-CR-20-13495.pdf","27-CR-20-13495")</f>
        <v>27-CR-20-13495</v>
      </c>
      <c r="D1110" s="3" t="s">
        <v>879</v>
      </c>
      <c r="E1110" s="8" t="str">
        <f aca="false">HYPERLINK("https://mncourtfraud.com/file/MCRO_27-CR-20-13495_Notice of Remote Hearing with Instructions_2022-05-09_20240430085923.pdf","MCRO_27-CR-20-13495_Notice of Remote Hearing with Instructions_2022-05-09_20240430085923.pdf")</f>
        <v>MCRO_27-CR-20-13495_Notice of Remote Hearing with Instructions_2022-05-09_20240430085923.pdf</v>
      </c>
      <c r="F1110" s="9" t="n">
        <v>44690</v>
      </c>
      <c r="G1110" s="1" t="s">
        <v>923</v>
      </c>
      <c r="H1110" s="3" t="s">
        <v>924</v>
      </c>
      <c r="I1110" s="3" t="s">
        <v>925</v>
      </c>
    </row>
    <row r="1111" customFormat="false" ht="18.7" hidden="false" customHeight="true" outlineLevel="0" collapsed="false">
      <c r="A1111" s="1" t="n">
        <v>1110</v>
      </c>
      <c r="F1111" s="9"/>
    </row>
    <row r="1112" customFormat="false" ht="18.7" hidden="false" customHeight="true" outlineLevel="0" collapsed="false">
      <c r="A1112" s="1" t="n">
        <v>1111</v>
      </c>
      <c r="B1112" s="7" t="str">
        <f aca="false">HYPERLINK("https://mncourtfraud.com/file/EGK-15.zip","EGK-15.zip")</f>
        <v>EGK-15.zip</v>
      </c>
      <c r="C1112" s="8" t="str">
        <f aca="false">HYPERLINK("https://mncourtfraud.com/file/27-CR-19-901.pdf","27-CR-19-901")</f>
        <v>27-CR-19-901</v>
      </c>
      <c r="D1112" s="3" t="s">
        <v>879</v>
      </c>
      <c r="E1112" s="8" t="str">
        <f aca="false">HYPERLINK("https://mncourtfraud.com/file/MCRO_27-CR-19-901_Findings and Order_2022-08-02_20240430091104.pdf","MCRO_27-CR-19-901_Findings and Order_2022-08-02_20240430091104.pdf")</f>
        <v>MCRO_27-CR-19-901_Findings and Order_2022-08-02_20240430091104.pdf</v>
      </c>
      <c r="F1112" s="9" t="n">
        <v>44775</v>
      </c>
      <c r="G1112" s="1" t="s">
        <v>926</v>
      </c>
      <c r="H1112" s="3" t="s">
        <v>927</v>
      </c>
      <c r="I1112" s="3" t="s">
        <v>928</v>
      </c>
      <c r="J1112" s="3" t="s">
        <v>43</v>
      </c>
      <c r="K1112" s="1" t="s">
        <v>929</v>
      </c>
      <c r="L1112" s="3" t="s">
        <v>930</v>
      </c>
    </row>
    <row r="1113" customFormat="false" ht="18.7" hidden="false" customHeight="true" outlineLevel="0" collapsed="false">
      <c r="A1113" s="1" t="n">
        <v>1112</v>
      </c>
      <c r="B1113" s="7" t="str">
        <f aca="false">HYPERLINK("https://mncourtfraud.com/file/EGK-15.zip","EGK-15.zip")</f>
        <v>EGK-15.zip</v>
      </c>
      <c r="C1113" s="8" t="str">
        <f aca="false">HYPERLINK("https://mncourtfraud.com/file/27-CR-20-13495.pdf","27-CR-20-13495")</f>
        <v>27-CR-20-13495</v>
      </c>
      <c r="D1113" s="3" t="s">
        <v>879</v>
      </c>
      <c r="E1113" s="8" t="str">
        <f aca="false">HYPERLINK("https://mncourtfraud.com/file/MCRO_27-CR-20-13495_Findings and Order_2022-08-02_20240430085921.pdf","MCRO_27-CR-20-13495_Findings and Order_2022-08-02_20240430085921.pdf")</f>
        <v>MCRO_27-CR-20-13495_Findings and Order_2022-08-02_20240430085921.pdf</v>
      </c>
      <c r="F1113" s="9" t="n">
        <v>44775</v>
      </c>
      <c r="G1113" s="1" t="s">
        <v>926</v>
      </c>
      <c r="H1113" s="3" t="s">
        <v>927</v>
      </c>
      <c r="I1113" s="3" t="s">
        <v>928</v>
      </c>
      <c r="J1113" s="3" t="s">
        <v>43</v>
      </c>
      <c r="K1113" s="1" t="s">
        <v>929</v>
      </c>
      <c r="L1113" s="3" t="s">
        <v>930</v>
      </c>
    </row>
    <row r="1114" customFormat="false" ht="18.7" hidden="false" customHeight="true" outlineLevel="0" collapsed="false">
      <c r="A1114" s="1" t="n">
        <v>1113</v>
      </c>
      <c r="F1114" s="9"/>
    </row>
    <row r="1115" customFormat="false" ht="18.7" hidden="false" customHeight="true" outlineLevel="0" collapsed="false">
      <c r="A1115" s="1" t="n">
        <v>1114</v>
      </c>
      <c r="B1115" s="7" t="str">
        <f aca="false">HYPERLINK("https://mncourtfraud.com/file/EGK-16.zip","EGK-16.zip")</f>
        <v>EGK-16.zip</v>
      </c>
      <c r="C1115" s="8" t="str">
        <f aca="false">HYPERLINK("https://mncourtfraud.com/file/27-CR-19-901.pdf","27-CR-19-901")</f>
        <v>27-CR-19-901</v>
      </c>
      <c r="D1115" s="3" t="s">
        <v>879</v>
      </c>
      <c r="E1115" s="8" t="str">
        <f aca="false">HYPERLINK("https://mncourtfraud.com/file/MCRO_27-CR-19-901_Order-Evaluation for Competency to Proceed (Rule 20.01)_2022-11-23_20240430091102.pdf","MCRO_27-CR-19-901_Order-Evaluation for Competency to Proceed (Rule 20.01)_2022-11-23_20240430091102.pdf")</f>
        <v>MCRO_27-CR-19-901_Order-Evaluation for Competency to Proceed (Rule 20.01)_2022-11-23_20240430091102.pdf</v>
      </c>
      <c r="F1115" s="9" t="n">
        <v>44888</v>
      </c>
      <c r="G1115" s="1" t="s">
        <v>931</v>
      </c>
      <c r="H1115" s="3" t="s">
        <v>932</v>
      </c>
      <c r="I1115" s="3" t="s">
        <v>933</v>
      </c>
    </row>
    <row r="1116" customFormat="false" ht="18.7" hidden="false" customHeight="true" outlineLevel="0" collapsed="false">
      <c r="A1116" s="1" t="n">
        <v>1115</v>
      </c>
      <c r="B1116" s="7" t="str">
        <f aca="false">HYPERLINK("https://mncourtfraud.com/file/EGK-16.zip","EGK-16.zip")</f>
        <v>EGK-16.zip</v>
      </c>
      <c r="C1116" s="8" t="str">
        <f aca="false">HYPERLINK("https://mncourtfraud.com/file/27-CR-20-13495.pdf","27-CR-20-13495")</f>
        <v>27-CR-20-13495</v>
      </c>
      <c r="D1116" s="3" t="s">
        <v>879</v>
      </c>
      <c r="E1116" s="8" t="str">
        <f aca="false">HYPERLINK("https://mncourtfraud.com/file/MCRO_27-CR-20-13495_Order-Evaluation for Competency to Proceed (Rule 20.01)_2022-11-23_20240430085920.pdf","MCRO_27-CR-20-13495_Order-Evaluation for Competency to Proceed (Rule 20.01)_2022-11-23_20240430085920.pdf")</f>
        <v>MCRO_27-CR-20-13495_Order-Evaluation for Competency to Proceed (Rule 20.01)_2022-11-23_20240430085920.pdf</v>
      </c>
      <c r="F1116" s="9" t="n">
        <v>44888</v>
      </c>
      <c r="G1116" s="1" t="s">
        <v>931</v>
      </c>
      <c r="H1116" s="3" t="s">
        <v>932</v>
      </c>
      <c r="I1116" s="3" t="s">
        <v>933</v>
      </c>
    </row>
    <row r="1117" customFormat="false" ht="18.7" hidden="false" customHeight="true" outlineLevel="0" collapsed="false">
      <c r="A1117" s="1" t="n">
        <v>1116</v>
      </c>
      <c r="B1117" s="7" t="str">
        <f aca="false">HYPERLINK("https://mncourtfraud.com/file/EGK-16.zip","EGK-16.zip")</f>
        <v>EGK-16.zip</v>
      </c>
      <c r="C1117" s="8" t="str">
        <f aca="false">HYPERLINK("https://mncourtfraud.com/file/27-CR-19-901.pdf","27-CR-19-901")</f>
        <v>27-CR-19-901</v>
      </c>
      <c r="D1117" s="3" t="s">
        <v>879</v>
      </c>
      <c r="E1117" s="8" t="str">
        <f aca="false">HYPERLINK("https://mncourtfraud.com/file/MCRO_27-CR-19-901_Order-Evaluation for Competency to Proceed (Rule 20.01)_2022-11-28_20240430091102.pdf","MCRO_27-CR-19-901_Order-Evaluation for Competency to Proceed (Rule 20.01)_2022-11-28_20240430091102.pdf")</f>
        <v>MCRO_27-CR-19-901_Order-Evaluation for Competency to Proceed (Rule 20.01)_2022-11-28_20240430091102.pdf</v>
      </c>
      <c r="F1117" s="9" t="n">
        <v>44893</v>
      </c>
      <c r="G1117" s="1" t="s">
        <v>931</v>
      </c>
      <c r="H1117" s="3" t="s">
        <v>932</v>
      </c>
      <c r="I1117" s="3" t="s">
        <v>934</v>
      </c>
    </row>
    <row r="1118" customFormat="false" ht="18.7" hidden="false" customHeight="true" outlineLevel="0" collapsed="false">
      <c r="A1118" s="1" t="n">
        <v>1117</v>
      </c>
      <c r="B1118" s="7" t="str">
        <f aca="false">HYPERLINK("https://mncourtfraud.com/file/EGK-16.zip","EGK-16.zip")</f>
        <v>EGK-16.zip</v>
      </c>
      <c r="C1118" s="8" t="str">
        <f aca="false">HYPERLINK("https://mncourtfraud.com/file/27-CR-20-13495.pdf","27-CR-20-13495")</f>
        <v>27-CR-20-13495</v>
      </c>
      <c r="D1118" s="3" t="s">
        <v>879</v>
      </c>
      <c r="E1118" s="8" t="str">
        <f aca="false">HYPERLINK("https://mncourtfraud.com/file/MCRO_27-CR-20-13495_Order-Evaluation for Competency to Proceed (Rule 20.01)_2022-11-28_20240430085919.pdf","MCRO_27-CR-20-13495_Order-Evaluation for Competency to Proceed (Rule 20.01)_2022-11-28_20240430085919.pdf")</f>
        <v>MCRO_27-CR-20-13495_Order-Evaluation for Competency to Proceed (Rule 20.01)_2022-11-28_20240430085919.pdf</v>
      </c>
      <c r="F1118" s="9" t="n">
        <v>44893</v>
      </c>
      <c r="G1118" s="1" t="s">
        <v>931</v>
      </c>
      <c r="H1118" s="3" t="s">
        <v>932</v>
      </c>
      <c r="I1118" s="3" t="s">
        <v>934</v>
      </c>
    </row>
    <row r="1119" customFormat="false" ht="18.7" hidden="false" customHeight="true" outlineLevel="0" collapsed="false">
      <c r="A1119" s="1" t="n">
        <v>1118</v>
      </c>
      <c r="F1119" s="9"/>
    </row>
    <row r="1120" customFormat="false" ht="18.7" hidden="false" customHeight="true" outlineLevel="0" collapsed="false">
      <c r="A1120" s="1" t="n">
        <v>1119</v>
      </c>
      <c r="B1120" s="7" t="str">
        <f aca="false">HYPERLINK("https://mncourtfraud.com/file/EGK-17.zip","EGK-17.zip")</f>
        <v>EGK-17.zip</v>
      </c>
      <c r="C1120" s="8" t="str">
        <f aca="false">HYPERLINK("https://mncourtfraud.com/file/27-CR-19-901.pdf","27-CR-19-901")</f>
        <v>27-CR-19-901</v>
      </c>
      <c r="D1120" s="3" t="s">
        <v>879</v>
      </c>
      <c r="E1120" s="8" t="str">
        <f aca="false">HYPERLINK("https://mncourtfraud.com/file/MCRO_27-CR-19-901_Finding of Incompetency and Order_2023-02-15_20240430091100.pdf","MCRO_27-CR-19-901_Finding of Incompetency and Order_2023-02-15_20240430091100.pdf")</f>
        <v>MCRO_27-CR-19-901_Finding of Incompetency and Order_2023-02-15_20240430091100.pdf</v>
      </c>
      <c r="F1120" s="9" t="n">
        <v>44972</v>
      </c>
      <c r="G1120" s="1" t="s">
        <v>935</v>
      </c>
      <c r="H1120" s="3" t="s">
        <v>936</v>
      </c>
      <c r="I1120" s="3" t="s">
        <v>937</v>
      </c>
      <c r="J1120" s="3" t="s">
        <v>145</v>
      </c>
      <c r="K1120" s="1" t="s">
        <v>938</v>
      </c>
      <c r="L1120" s="3" t="s">
        <v>939</v>
      </c>
      <c r="M1120" s="3" t="s">
        <v>55</v>
      </c>
      <c r="N1120" s="1" t="s">
        <v>940</v>
      </c>
      <c r="O1120" s="3" t="s">
        <v>941</v>
      </c>
    </row>
    <row r="1121" customFormat="false" ht="18.7" hidden="false" customHeight="true" outlineLevel="0" collapsed="false">
      <c r="A1121" s="1" t="n">
        <v>1120</v>
      </c>
      <c r="B1121" s="7" t="str">
        <f aca="false">HYPERLINK("https://mncourtfraud.com/file/EGK-17.zip","EGK-17.zip")</f>
        <v>EGK-17.zip</v>
      </c>
      <c r="C1121" s="8" t="str">
        <f aca="false">HYPERLINK("https://mncourtfraud.com/file/27-CR-20-13495.pdf","27-CR-20-13495")</f>
        <v>27-CR-20-13495</v>
      </c>
      <c r="D1121" s="3" t="s">
        <v>879</v>
      </c>
      <c r="E1121" s="8" t="str">
        <f aca="false">HYPERLINK("https://mncourtfraud.com/file/MCRO_27-CR-20-13495_Finding of Incompetency and Order_2023-02-15_20240430085918.pdf","MCRO_27-CR-20-13495_Finding of Incompetency and Order_2023-02-15_20240430085918.pdf")</f>
        <v>MCRO_27-CR-20-13495_Finding of Incompetency and Order_2023-02-15_20240430085918.pdf</v>
      </c>
      <c r="F1121" s="9" t="n">
        <v>44972</v>
      </c>
      <c r="G1121" s="1" t="s">
        <v>935</v>
      </c>
      <c r="H1121" s="3" t="s">
        <v>936</v>
      </c>
      <c r="I1121" s="3" t="s">
        <v>937</v>
      </c>
      <c r="J1121" s="3" t="s">
        <v>145</v>
      </c>
      <c r="K1121" s="1" t="s">
        <v>938</v>
      </c>
      <c r="L1121" s="3" t="s">
        <v>939</v>
      </c>
      <c r="M1121" s="3" t="s">
        <v>55</v>
      </c>
      <c r="N1121" s="1" t="s">
        <v>940</v>
      </c>
      <c r="O1121" s="3" t="s">
        <v>941</v>
      </c>
    </row>
    <row r="1122" customFormat="false" ht="18.7" hidden="false" customHeight="true" outlineLevel="0" collapsed="false">
      <c r="A1122" s="1" t="n">
        <v>1121</v>
      </c>
      <c r="F1122" s="9"/>
    </row>
    <row r="1123" customFormat="false" ht="18.7" hidden="false" customHeight="true" outlineLevel="0" collapsed="false">
      <c r="A1123" s="1" t="n">
        <v>1122</v>
      </c>
      <c r="B1123" s="7" t="str">
        <f aca="false">HYPERLINK("https://mncourtfraud.com/file/EGK-18.zip","EGK-18.zip")</f>
        <v>EGK-18.zip</v>
      </c>
      <c r="C1123" s="8" t="str">
        <f aca="false">HYPERLINK("https://mncourtfraud.com/file/27-CR-19-901.pdf","27-CR-19-901")</f>
        <v>27-CR-19-901</v>
      </c>
      <c r="D1123" s="3" t="s">
        <v>879</v>
      </c>
      <c r="E1123" s="8" t="str">
        <f aca="false">HYPERLINK("https://mncourtfraud.com/file/MCRO_27-CR-19-901_Notice of Remote Hearing with Instructions_2023-09-12_20240430091059.pdf","MCRO_27-CR-19-901_Notice of Remote Hearing with Instructions_2023-09-12_20240430091059.pdf")</f>
        <v>MCRO_27-CR-19-901_Notice of Remote Hearing with Instructions_2023-09-12_20240430091059.pdf</v>
      </c>
      <c r="F1123" s="9" t="n">
        <v>45181</v>
      </c>
      <c r="G1123" s="1" t="s">
        <v>942</v>
      </c>
      <c r="H1123" s="3" t="s">
        <v>943</v>
      </c>
      <c r="I1123" s="3" t="s">
        <v>944</v>
      </c>
    </row>
    <row r="1124" customFormat="false" ht="18.7" hidden="false" customHeight="true" outlineLevel="0" collapsed="false">
      <c r="A1124" s="1" t="n">
        <v>1123</v>
      </c>
      <c r="B1124" s="7" t="str">
        <f aca="false">HYPERLINK("https://mncourtfraud.com/file/EGK-18.zip","EGK-18.zip")</f>
        <v>EGK-18.zip</v>
      </c>
      <c r="C1124" s="8" t="str">
        <f aca="false">HYPERLINK("https://mncourtfraud.com/file/27-CR-20-13495.pdf","27-CR-20-13495")</f>
        <v>27-CR-20-13495</v>
      </c>
      <c r="D1124" s="3" t="s">
        <v>879</v>
      </c>
      <c r="E1124" s="8" t="str">
        <f aca="false">HYPERLINK("https://mncourtfraud.com/file/MCRO_27-CR-20-13495_Notice of Remote Hearing with Instructions_2023-09-12_20240430085917.pdf","MCRO_27-CR-20-13495_Notice of Remote Hearing with Instructions_2023-09-12_20240430085917.pdf")</f>
        <v>MCRO_27-CR-20-13495_Notice of Remote Hearing with Instructions_2023-09-12_20240430085917.pdf</v>
      </c>
      <c r="F1124" s="9" t="n">
        <v>45181</v>
      </c>
      <c r="G1124" s="1" t="s">
        <v>942</v>
      </c>
      <c r="H1124" s="3" t="s">
        <v>943</v>
      </c>
      <c r="I1124" s="3" t="s">
        <v>944</v>
      </c>
    </row>
    <row r="1125" customFormat="false" ht="18.7" hidden="false" customHeight="true" outlineLevel="0" collapsed="false">
      <c r="A1125" s="1" t="n">
        <v>1124</v>
      </c>
      <c r="F1125" s="9"/>
    </row>
    <row r="1126" customFormat="false" ht="18.7" hidden="false" customHeight="true" outlineLevel="0" collapsed="false">
      <c r="A1126" s="1" t="n">
        <v>1125</v>
      </c>
      <c r="B1126" s="7" t="str">
        <f aca="false">HYPERLINK("https://mncourtfraud.com/file/EGK-19.zip","EGK-19.zip")</f>
        <v>EGK-19.zip</v>
      </c>
      <c r="C1126" s="8" t="str">
        <f aca="false">HYPERLINK("https://mncourtfraud.com/file/27-CR-19-901.pdf","27-CR-19-901")</f>
        <v>27-CR-19-901</v>
      </c>
      <c r="D1126" s="3" t="s">
        <v>879</v>
      </c>
      <c r="E1126" s="8" t="str">
        <f aca="false">HYPERLINK("https://mncourtfraud.com/file/MCRO_27-CR-19-901_Notice of Hearing_2023-09-19_20240430091058.pdf","MCRO_27-CR-19-901_Notice of Hearing_2023-09-19_20240430091058.pdf")</f>
        <v>MCRO_27-CR-19-901_Notice of Hearing_2023-09-19_20240430091058.pdf</v>
      </c>
      <c r="F1126" s="9" t="n">
        <v>45188</v>
      </c>
      <c r="G1126" s="1" t="s">
        <v>945</v>
      </c>
      <c r="H1126" s="3" t="s">
        <v>946</v>
      </c>
      <c r="I1126" s="3" t="s">
        <v>947</v>
      </c>
    </row>
    <row r="1127" customFormat="false" ht="18.7" hidden="false" customHeight="true" outlineLevel="0" collapsed="false">
      <c r="A1127" s="1" t="n">
        <v>1126</v>
      </c>
      <c r="B1127" s="7" t="str">
        <f aca="false">HYPERLINK("https://mncourtfraud.com/file/EGK-19.zip","EGK-19.zip")</f>
        <v>EGK-19.zip</v>
      </c>
      <c r="C1127" s="8" t="str">
        <f aca="false">HYPERLINK("https://mncourtfraud.com/file/27-CR-20-13495.pdf","27-CR-20-13495")</f>
        <v>27-CR-20-13495</v>
      </c>
      <c r="D1127" s="3" t="s">
        <v>879</v>
      </c>
      <c r="E1127" s="8" t="str">
        <f aca="false">HYPERLINK("https://mncourtfraud.com/file/MCRO_27-CR-20-13495_Notice of Hearing_2023-09-19_20240430085916.pdf","MCRO_27-CR-20-13495_Notice of Hearing_2023-09-19_20240430085916.pdf")</f>
        <v>MCRO_27-CR-20-13495_Notice of Hearing_2023-09-19_20240430085916.pdf</v>
      </c>
      <c r="F1127" s="9" t="n">
        <v>45188</v>
      </c>
      <c r="G1127" s="1" t="s">
        <v>945</v>
      </c>
      <c r="H1127" s="3" t="s">
        <v>946</v>
      </c>
      <c r="I1127" s="3" t="s">
        <v>947</v>
      </c>
    </row>
    <row r="1128" customFormat="false" ht="18.7" hidden="false" customHeight="true" outlineLevel="0" collapsed="false">
      <c r="A1128" s="1" t="n">
        <v>1127</v>
      </c>
      <c r="F1128" s="9"/>
    </row>
    <row r="1129" customFormat="false" ht="18.7" hidden="false" customHeight="true" outlineLevel="0" collapsed="false">
      <c r="A1129" s="1" t="n">
        <v>1128</v>
      </c>
      <c r="F1129" s="9"/>
    </row>
    <row r="1130" customFormat="false" ht="18.7" hidden="false" customHeight="true" outlineLevel="0" collapsed="false">
      <c r="A1130" s="1" t="n">
        <v>1129</v>
      </c>
      <c r="B1130" s="7" t="str">
        <f aca="false">HYPERLINK("https://mncourtfraud.com/file/JMJ-1.zip","JMJ-1.zip")</f>
        <v>JMJ-1.zip</v>
      </c>
      <c r="C1130" s="8" t="str">
        <f aca="false">HYPERLINK("https://mncourtfraud.com/file/27-CR-19-28883.pdf","27-CR-19-28883")</f>
        <v>27-CR-19-28883</v>
      </c>
      <c r="D1130" s="3" t="s">
        <v>948</v>
      </c>
      <c r="E1130" s="8" t="str">
        <f aca="false">HYPERLINK("https://mncourtfraud.com/file/MCRO_27-CR-19-28883_Findings and Order_2022-02-01_20240430092356.pdf","MCRO_27-CR-19-28883_Findings and Order_2022-02-01_20240430092356.pdf")</f>
        <v>MCRO_27-CR-19-28883_Findings and Order_2022-02-01_20240430092356.pdf</v>
      </c>
      <c r="F1130" s="9" t="n">
        <v>44593</v>
      </c>
      <c r="G1130" s="1" t="s">
        <v>949</v>
      </c>
      <c r="H1130" s="3" t="s">
        <v>950</v>
      </c>
      <c r="I1130" s="3" t="s">
        <v>951</v>
      </c>
      <c r="J1130" s="3" t="s">
        <v>43</v>
      </c>
      <c r="K1130" s="1" t="s">
        <v>952</v>
      </c>
      <c r="L1130" s="3" t="s">
        <v>953</v>
      </c>
    </row>
    <row r="1131" customFormat="false" ht="18.7" hidden="false" customHeight="true" outlineLevel="0" collapsed="false">
      <c r="A1131" s="1" t="n">
        <v>1130</v>
      </c>
      <c r="B1131" s="7" t="str">
        <f aca="false">HYPERLINK("https://mncourtfraud.com/file/JMJ-1.zip","JMJ-1.zip")</f>
        <v>JMJ-1.zip</v>
      </c>
      <c r="C1131" s="8" t="str">
        <f aca="false">HYPERLINK("https://mncourtfraud.com/file/27-CR-21-13795.pdf","27-CR-21-13795")</f>
        <v>27-CR-21-13795</v>
      </c>
      <c r="D1131" s="3" t="s">
        <v>948</v>
      </c>
      <c r="E1131" s="8" t="str">
        <f aca="false">HYPERLINK("https://mncourtfraud.com/file/MCRO_27-CR-21-13795_Findings and Order_2022-02-01_20240430082442.pdf","MCRO_27-CR-21-13795_Findings and Order_2022-02-01_20240430082442.pdf")</f>
        <v>MCRO_27-CR-21-13795_Findings and Order_2022-02-01_20240430082442.pdf</v>
      </c>
      <c r="F1131" s="9" t="n">
        <v>44593</v>
      </c>
      <c r="G1131" s="1" t="s">
        <v>949</v>
      </c>
      <c r="H1131" s="3" t="s">
        <v>950</v>
      </c>
      <c r="I1131" s="3" t="s">
        <v>951</v>
      </c>
      <c r="J1131" s="3" t="s">
        <v>43</v>
      </c>
      <c r="K1131" s="1" t="s">
        <v>952</v>
      </c>
      <c r="L1131" s="3" t="s">
        <v>953</v>
      </c>
    </row>
    <row r="1132" customFormat="false" ht="18.7" hidden="false" customHeight="true" outlineLevel="0" collapsed="false">
      <c r="A1132" s="1" t="n">
        <v>1131</v>
      </c>
      <c r="F1132" s="9"/>
    </row>
    <row r="1133" customFormat="false" ht="18.7" hidden="false" customHeight="true" outlineLevel="0" collapsed="false">
      <c r="A1133" s="1" t="n">
        <v>1132</v>
      </c>
      <c r="B1133" s="7" t="str">
        <f aca="false">HYPERLINK("https://mncourtfraud.com/file/JMJ-2.zip","JMJ-2.zip")</f>
        <v>JMJ-2.zip</v>
      </c>
      <c r="C1133" s="8" t="str">
        <f aca="false">HYPERLINK("https://mncourtfraud.com/file/27-CR-19-28883.pdf","27-CR-19-28883")</f>
        <v>27-CR-19-28883</v>
      </c>
      <c r="D1133" s="3" t="s">
        <v>948</v>
      </c>
      <c r="E1133" s="8" t="str">
        <f aca="false">HYPERLINK("https://mncourtfraud.com/file/MCRO_27-CR-19-28883_Order for Conditional Release_2022-02-01_20240430092356.pdf","MCRO_27-CR-19-28883_Order for Conditional Release_2022-02-01_20240430092356.pdf")</f>
        <v>MCRO_27-CR-19-28883_Order for Conditional Release_2022-02-01_20240430092356.pdf</v>
      </c>
      <c r="F1133" s="9" t="n">
        <v>44593</v>
      </c>
      <c r="G1133" s="1" t="s">
        <v>954</v>
      </c>
      <c r="H1133" s="3" t="s">
        <v>955</v>
      </c>
      <c r="I1133" s="3" t="s">
        <v>956</v>
      </c>
    </row>
    <row r="1134" customFormat="false" ht="18.7" hidden="false" customHeight="true" outlineLevel="0" collapsed="false">
      <c r="A1134" s="1" t="n">
        <v>1133</v>
      </c>
      <c r="B1134" s="7" t="str">
        <f aca="false">HYPERLINK("https://mncourtfraud.com/file/JMJ-2.zip","JMJ-2.zip")</f>
        <v>JMJ-2.zip</v>
      </c>
      <c r="C1134" s="8" t="str">
        <f aca="false">HYPERLINK("https://mncourtfraud.com/file/27-CR-21-13795.pdf","27-CR-21-13795")</f>
        <v>27-CR-21-13795</v>
      </c>
      <c r="D1134" s="3" t="s">
        <v>948</v>
      </c>
      <c r="E1134" s="8" t="str">
        <f aca="false">HYPERLINK("https://mncourtfraud.com/file/MCRO_27-CR-21-13795_Order for Conditional Release_2022-02-01_20240430082441.pdf","MCRO_27-CR-21-13795_Order for Conditional Release_2022-02-01_20240430082441.pdf")</f>
        <v>MCRO_27-CR-21-13795_Order for Conditional Release_2022-02-01_20240430082441.pdf</v>
      </c>
      <c r="F1134" s="9" t="n">
        <v>44593</v>
      </c>
      <c r="G1134" s="1" t="s">
        <v>954</v>
      </c>
      <c r="H1134" s="3" t="s">
        <v>955</v>
      </c>
      <c r="I1134" s="3" t="s">
        <v>956</v>
      </c>
    </row>
    <row r="1135" customFormat="false" ht="18.7" hidden="false" customHeight="true" outlineLevel="0" collapsed="false">
      <c r="A1135" s="1" t="n">
        <v>1134</v>
      </c>
      <c r="F1135" s="9"/>
    </row>
    <row r="1136" customFormat="false" ht="18.7" hidden="false" customHeight="true" outlineLevel="0" collapsed="false">
      <c r="A1136" s="1" t="n">
        <v>1135</v>
      </c>
      <c r="B1136" s="7" t="str">
        <f aca="false">HYPERLINK("https://mncourtfraud.com/file/JMJ-3.zip","JMJ-3.zip")</f>
        <v>JMJ-3.zip</v>
      </c>
      <c r="C1136" s="8" t="str">
        <f aca="false">HYPERLINK("https://mncourtfraud.com/file/27-CR-19-28883.pdf","27-CR-19-28883")</f>
        <v>27-CR-19-28883</v>
      </c>
      <c r="D1136" s="3" t="s">
        <v>948</v>
      </c>
      <c r="E1136" s="8" t="str">
        <f aca="false">HYPERLINK("https://mncourtfraud.com/file/MCRO_27-CR-19-28883_Returned Mail_2022-04-12_20240430092353.pdf","MCRO_27-CR-19-28883_Returned Mail_2022-04-12_20240430092353.pdf")</f>
        <v>MCRO_27-CR-19-28883_Returned Mail_2022-04-12_20240430092353.pdf</v>
      </c>
      <c r="F1136" s="9" t="n">
        <v>44663</v>
      </c>
      <c r="G1136" s="1" t="s">
        <v>957</v>
      </c>
      <c r="H1136" s="3" t="s">
        <v>958</v>
      </c>
      <c r="I1136" s="3" t="s">
        <v>959</v>
      </c>
    </row>
    <row r="1137" customFormat="false" ht="18.7" hidden="false" customHeight="true" outlineLevel="0" collapsed="false">
      <c r="A1137" s="1" t="n">
        <v>1136</v>
      </c>
      <c r="B1137" s="7" t="str">
        <f aca="false">HYPERLINK("https://mncourtfraud.com/file/JMJ-3.zip","JMJ-3.zip")</f>
        <v>JMJ-3.zip</v>
      </c>
      <c r="C1137" s="8" t="str">
        <f aca="false">HYPERLINK("https://mncourtfraud.com/file/27-CR-21-13795.pdf","27-CR-21-13795")</f>
        <v>27-CR-21-13795</v>
      </c>
      <c r="D1137" s="3" t="s">
        <v>948</v>
      </c>
      <c r="E1137" s="8" t="str">
        <f aca="false">HYPERLINK("https://mncourtfraud.com/file/MCRO_27-CR-21-13795_Returned Mail_2022-04-12_20240430082438.pdf","MCRO_27-CR-21-13795_Returned Mail_2022-04-12_20240430082438.pdf")</f>
        <v>MCRO_27-CR-21-13795_Returned Mail_2022-04-12_20240430082438.pdf</v>
      </c>
      <c r="F1137" s="9" t="n">
        <v>44663</v>
      </c>
      <c r="G1137" s="1" t="s">
        <v>957</v>
      </c>
      <c r="H1137" s="3" t="s">
        <v>958</v>
      </c>
      <c r="I1137" s="3" t="s">
        <v>959</v>
      </c>
    </row>
    <row r="1138" customFormat="false" ht="18.7" hidden="false" customHeight="true" outlineLevel="0" collapsed="false">
      <c r="A1138" s="1" t="n">
        <v>1137</v>
      </c>
      <c r="F1138" s="9"/>
    </row>
    <row r="1139" customFormat="false" ht="18.7" hidden="false" customHeight="true" outlineLevel="0" collapsed="false">
      <c r="A1139" s="1" t="n">
        <v>1138</v>
      </c>
      <c r="B1139" s="7" t="str">
        <f aca="false">HYPERLINK("https://mncourtfraud.com/file/JMJ-4.zip","JMJ-4.zip")</f>
        <v>JMJ-4.zip</v>
      </c>
      <c r="C1139" s="8" t="str">
        <f aca="false">HYPERLINK("https://mncourtfraud.com/file/27-CR-19-28883.pdf","27-CR-19-28883")</f>
        <v>27-CR-19-28883</v>
      </c>
      <c r="D1139" s="3" t="s">
        <v>948</v>
      </c>
      <c r="E1139" s="8" t="str">
        <f aca="false">HYPERLINK("https://mncourtfraud.com/file/MCRO_27-CR-19-28883_Order-Evaluation for Competency to Proceed (Rule 20.01)_2022-05-11_20240430092356.pdf","MCRO_27-CR-19-28883_Order-Evaluation for Competency to Proceed (Rule 20.01)_2022-05-11_20240430092356.pdf")</f>
        <v>MCRO_27-CR-19-28883_Order-Evaluation for Competency to Proceed (Rule 20.01)_2022-05-11_20240430092356.pdf</v>
      </c>
      <c r="F1139" s="9" t="n">
        <v>44692</v>
      </c>
      <c r="G1139" s="1" t="s">
        <v>960</v>
      </c>
      <c r="H1139" s="3" t="s">
        <v>961</v>
      </c>
      <c r="I1139" s="3" t="s">
        <v>962</v>
      </c>
    </row>
    <row r="1140" customFormat="false" ht="18.7" hidden="false" customHeight="true" outlineLevel="0" collapsed="false">
      <c r="A1140" s="1" t="n">
        <v>1139</v>
      </c>
      <c r="B1140" s="7" t="str">
        <f aca="false">HYPERLINK("https://mncourtfraud.com/file/JMJ-4.zip","JMJ-4.zip")</f>
        <v>JMJ-4.zip</v>
      </c>
      <c r="C1140" s="8" t="str">
        <f aca="false">HYPERLINK("https://mncourtfraud.com/file/27-CR-21-13795.pdf","27-CR-21-13795")</f>
        <v>27-CR-21-13795</v>
      </c>
      <c r="D1140" s="3" t="s">
        <v>948</v>
      </c>
      <c r="E1140" s="8" t="str">
        <f aca="false">HYPERLINK("https://mncourtfraud.com/file/MCRO_27-CR-21-13795_Order-Evaluation for Competency to Proceed (Rule 20.01)_2022-05-11_20240430082437.pdf","MCRO_27-CR-21-13795_Order-Evaluation for Competency to Proceed (Rule 20.01)_2022-05-11_20240430082437.pdf")</f>
        <v>MCRO_27-CR-21-13795_Order-Evaluation for Competency to Proceed (Rule 20.01)_2022-05-11_20240430082437.pdf</v>
      </c>
      <c r="F1140" s="9" t="n">
        <v>44692</v>
      </c>
      <c r="G1140" s="1" t="s">
        <v>960</v>
      </c>
      <c r="H1140" s="3" t="s">
        <v>961</v>
      </c>
      <c r="I1140" s="3" t="s">
        <v>963</v>
      </c>
    </row>
    <row r="1141" customFormat="false" ht="18.7" hidden="false" customHeight="true" outlineLevel="0" collapsed="false">
      <c r="A1141" s="1" t="n">
        <v>1140</v>
      </c>
      <c r="F1141" s="9"/>
    </row>
    <row r="1142" customFormat="false" ht="18.7" hidden="false" customHeight="true" outlineLevel="0" collapsed="false">
      <c r="A1142" s="1" t="n">
        <v>1141</v>
      </c>
      <c r="B1142" s="7" t="str">
        <f aca="false">HYPERLINK("https://mncourtfraud.com/file/JMJ-5.zip","JMJ-5.zip")</f>
        <v>JMJ-5.zip</v>
      </c>
      <c r="C1142" s="8" t="str">
        <f aca="false">HYPERLINK("https://mncourtfraud.com/file/27-CR-19-28883.pdf","27-CR-19-28883")</f>
        <v>27-CR-19-28883</v>
      </c>
      <c r="D1142" s="3" t="s">
        <v>948</v>
      </c>
      <c r="E1142" s="8" t="str">
        <f aca="false">HYPERLINK("https://mncourtfraud.com/file/MCRO_27-CR-19-28883_Order-Other_2022-09-07_20240430092349.pdf","MCRO_27-CR-19-28883_Order-Other_2022-09-07_20240430092349.pdf")</f>
        <v>MCRO_27-CR-19-28883_Order-Other_2022-09-07_20240430092349.pdf</v>
      </c>
      <c r="F1142" s="9" t="n">
        <v>44811</v>
      </c>
      <c r="G1142" s="1" t="s">
        <v>964</v>
      </c>
      <c r="H1142" s="3" t="s">
        <v>965</v>
      </c>
      <c r="I1142" s="3" t="s">
        <v>966</v>
      </c>
    </row>
    <row r="1143" customFormat="false" ht="18.7" hidden="false" customHeight="true" outlineLevel="0" collapsed="false">
      <c r="A1143" s="1" t="n">
        <v>1142</v>
      </c>
      <c r="B1143" s="7" t="str">
        <f aca="false">HYPERLINK("https://mncourtfraud.com/file/JMJ-5.zip","JMJ-5.zip")</f>
        <v>JMJ-5.zip</v>
      </c>
      <c r="C1143" s="8" t="str">
        <f aca="false">HYPERLINK("https://mncourtfraud.com/file/27-CR-21-13795.pdf","27-CR-21-13795")</f>
        <v>27-CR-21-13795</v>
      </c>
      <c r="D1143" s="3" t="s">
        <v>948</v>
      </c>
      <c r="E1143" s="8" t="str">
        <f aca="false">HYPERLINK("https://mncourtfraud.com/file/MCRO_27-CR-21-13795_Order-Other_2022-09-07_20240430082435.pdf","MCRO_27-CR-21-13795_Order-Other_2022-09-07_20240430082435.pdf")</f>
        <v>MCRO_27-CR-21-13795_Order-Other_2022-09-07_20240430082435.pdf</v>
      </c>
      <c r="F1143" s="9" t="n">
        <v>44811</v>
      </c>
      <c r="G1143" s="1" t="s">
        <v>964</v>
      </c>
      <c r="H1143" s="3" t="s">
        <v>965</v>
      </c>
      <c r="I1143" s="3" t="s">
        <v>967</v>
      </c>
    </row>
    <row r="1144" customFormat="false" ht="18.7" hidden="false" customHeight="true" outlineLevel="0" collapsed="false">
      <c r="A1144" s="1" t="n">
        <v>1143</v>
      </c>
      <c r="F1144" s="9"/>
    </row>
    <row r="1145" customFormat="false" ht="18.7" hidden="false" customHeight="true" outlineLevel="0" collapsed="false">
      <c r="A1145" s="1" t="n">
        <v>1144</v>
      </c>
      <c r="B1145" s="7" t="str">
        <f aca="false">HYPERLINK("https://mncourtfraud.com/file/JMJ-6.zip","JMJ-6.zip")</f>
        <v>JMJ-6.zip</v>
      </c>
      <c r="C1145" s="8" t="str">
        <f aca="false">HYPERLINK("https://mncourtfraud.com/file/27-CR-19-28883.pdf","27-CR-19-28883")</f>
        <v>27-CR-19-28883</v>
      </c>
      <c r="D1145" s="3" t="s">
        <v>948</v>
      </c>
      <c r="E1145" s="8" t="str">
        <f aca="false">HYPERLINK("https://mncourtfraud.com/file/MCRO_27-CR-19-28883_Order for Conditional Release_2022-09-07_20240430092350.pdf","MCRO_27-CR-19-28883_Order for Conditional Release_2022-09-07_20240430092350.pdf")</f>
        <v>MCRO_27-CR-19-28883_Order for Conditional Release_2022-09-07_20240430092350.pdf</v>
      </c>
      <c r="F1145" s="9" t="n">
        <v>44811</v>
      </c>
      <c r="G1145" s="1" t="s">
        <v>968</v>
      </c>
      <c r="H1145" s="3" t="s">
        <v>969</v>
      </c>
      <c r="I1145" s="3" t="s">
        <v>970</v>
      </c>
    </row>
    <row r="1146" customFormat="false" ht="18.7" hidden="false" customHeight="true" outlineLevel="0" collapsed="false">
      <c r="A1146" s="1" t="n">
        <v>1145</v>
      </c>
      <c r="B1146" s="7" t="str">
        <f aca="false">HYPERLINK("https://mncourtfraud.com/file/JMJ-6.zip","JMJ-6.zip")</f>
        <v>JMJ-6.zip</v>
      </c>
      <c r="C1146" s="8" t="str">
        <f aca="false">HYPERLINK("https://mncourtfraud.com/file/27-CR-21-13795.pdf","27-CR-21-13795")</f>
        <v>27-CR-21-13795</v>
      </c>
      <c r="D1146" s="3" t="s">
        <v>948</v>
      </c>
      <c r="E1146" s="8" t="str">
        <f aca="false">HYPERLINK("https://mncourtfraud.com/file/MCRO_27-CR-21-13795_Order for Conditional Release_2022-09-07_20240430082436.pdf","MCRO_27-CR-21-13795_Order for Conditional Release_2022-09-07_20240430082436.pdf")</f>
        <v>MCRO_27-CR-21-13795_Order for Conditional Release_2022-09-07_20240430082436.pdf</v>
      </c>
      <c r="F1146" s="9" t="n">
        <v>44811</v>
      </c>
      <c r="G1146" s="1" t="s">
        <v>968</v>
      </c>
      <c r="H1146" s="3" t="s">
        <v>969</v>
      </c>
      <c r="I1146" s="3" t="s">
        <v>971</v>
      </c>
    </row>
    <row r="1147" customFormat="false" ht="18.7" hidden="false" customHeight="true" outlineLevel="0" collapsed="false">
      <c r="A1147" s="1" t="n">
        <v>1146</v>
      </c>
      <c r="F1147" s="9"/>
    </row>
    <row r="1148" customFormat="false" ht="18.7" hidden="false" customHeight="true" outlineLevel="0" collapsed="false">
      <c r="A1148" s="1" t="n">
        <v>1147</v>
      </c>
      <c r="B1148" s="7" t="str">
        <f aca="false">HYPERLINK("https://mncourtfraud.com/file/JMJ-7.zip","JMJ-7.zip")</f>
        <v>JMJ-7.zip</v>
      </c>
      <c r="C1148" s="8" t="str">
        <f aca="false">HYPERLINK("https://mncourtfraud.com/file/27-CR-19-28883.pdf","27-CR-19-28883")</f>
        <v>27-CR-19-28883</v>
      </c>
      <c r="D1148" s="3" t="s">
        <v>948</v>
      </c>
      <c r="E1148" s="8" t="str">
        <f aca="false">HYPERLINK("https://mncourtfraud.com/file/MCRO_27-CR-19-28883_Correspondence for Judicial Approval_2022-09-14_20240430092347.pdf","MCRO_27-CR-19-28883_Correspondence for Judicial Approval_2022-09-14_20240430092347.pdf")</f>
        <v>MCRO_27-CR-19-28883_Correspondence for Judicial Approval_2022-09-14_20240430092347.pdf</v>
      </c>
      <c r="F1148" s="9" t="n">
        <v>44818</v>
      </c>
      <c r="G1148" s="1" t="s">
        <v>972</v>
      </c>
      <c r="H1148" s="3" t="s">
        <v>973</v>
      </c>
      <c r="I1148" s="3" t="s">
        <v>974</v>
      </c>
    </row>
    <row r="1149" customFormat="false" ht="18.7" hidden="false" customHeight="true" outlineLevel="0" collapsed="false">
      <c r="A1149" s="1" t="n">
        <v>1148</v>
      </c>
      <c r="B1149" s="7" t="str">
        <f aca="false">HYPERLINK("https://mncourtfraud.com/file/JMJ-7.zip","JMJ-7.zip")</f>
        <v>JMJ-7.zip</v>
      </c>
      <c r="C1149" s="8" t="str">
        <f aca="false">HYPERLINK("https://mncourtfraud.com/file/27-CR-21-13795.pdf","27-CR-21-13795")</f>
        <v>27-CR-21-13795</v>
      </c>
      <c r="D1149" s="3" t="s">
        <v>948</v>
      </c>
      <c r="E1149" s="8" t="str">
        <f aca="false">HYPERLINK("https://mncourtfraud.com/file/MCRO_27-CR-21-13795_Correspondence for Judicial Approval_2022-09-14_20240430082434.pdf","MCRO_27-CR-21-13795_Correspondence for Judicial Approval_2022-09-14_20240430082434.pdf")</f>
        <v>MCRO_27-CR-21-13795_Correspondence for Judicial Approval_2022-09-14_20240430082434.pdf</v>
      </c>
      <c r="F1149" s="9" t="n">
        <v>44818</v>
      </c>
      <c r="G1149" s="1" t="s">
        <v>972</v>
      </c>
      <c r="H1149" s="3" t="s">
        <v>973</v>
      </c>
      <c r="I1149" s="3" t="s">
        <v>975</v>
      </c>
    </row>
    <row r="1150" customFormat="false" ht="18.7" hidden="false" customHeight="true" outlineLevel="0" collapsed="false">
      <c r="A1150" s="1" t="n">
        <v>1149</v>
      </c>
      <c r="F1150" s="9"/>
    </row>
    <row r="1151" customFormat="false" ht="18.7" hidden="false" customHeight="true" outlineLevel="0" collapsed="false">
      <c r="A1151" s="1" t="n">
        <v>1150</v>
      </c>
      <c r="B1151" s="7" t="str">
        <f aca="false">HYPERLINK("https://mncourtfraud.com/file/JMJ-8.zip","JMJ-8.zip")</f>
        <v>JMJ-8.zip</v>
      </c>
      <c r="C1151" s="8" t="str">
        <f aca="false">HYPERLINK("https://mncourtfraud.com/file/27-CR-19-28883.pdf","27-CR-19-28883")</f>
        <v>27-CR-19-28883</v>
      </c>
      <c r="D1151" s="3" t="s">
        <v>948</v>
      </c>
      <c r="E1151" s="8" t="str">
        <f aca="false">HYPERLINK("https://mncourtfraud.com/file/MCRO_27-CR-19-28883_Proposed Order or Document_2022-09-14_20240430092346.pdf","MCRO_27-CR-19-28883_Proposed Order or Document_2022-09-14_20240430092346.pdf")</f>
        <v>MCRO_27-CR-19-28883_Proposed Order or Document_2022-09-14_20240430092346.pdf</v>
      </c>
      <c r="F1151" s="9" t="n">
        <v>44818</v>
      </c>
      <c r="G1151" s="1" t="s">
        <v>976</v>
      </c>
      <c r="H1151" s="3" t="s">
        <v>977</v>
      </c>
      <c r="I1151" s="3" t="s">
        <v>978</v>
      </c>
    </row>
    <row r="1152" customFormat="false" ht="18.7" hidden="false" customHeight="true" outlineLevel="0" collapsed="false">
      <c r="A1152" s="1" t="n">
        <v>1151</v>
      </c>
      <c r="B1152" s="7" t="str">
        <f aca="false">HYPERLINK("https://mncourtfraud.com/file/JMJ-8.zip","JMJ-8.zip")</f>
        <v>JMJ-8.zip</v>
      </c>
      <c r="C1152" s="8" t="str">
        <f aca="false">HYPERLINK("https://mncourtfraud.com/file/27-CR-21-13795.pdf","27-CR-21-13795")</f>
        <v>27-CR-21-13795</v>
      </c>
      <c r="D1152" s="3" t="s">
        <v>948</v>
      </c>
      <c r="E1152" s="8" t="str">
        <f aca="false">HYPERLINK("https://mncourtfraud.com/file/MCRO_27-CR-21-13795_Proposed Order or Document_2022-09-14_20240430082433.pdf","MCRO_27-CR-21-13795_Proposed Order or Document_2022-09-14_20240430082433.pdf")</f>
        <v>MCRO_27-CR-21-13795_Proposed Order or Document_2022-09-14_20240430082433.pdf</v>
      </c>
      <c r="F1152" s="9" t="n">
        <v>44818</v>
      </c>
      <c r="G1152" s="1" t="s">
        <v>976</v>
      </c>
      <c r="H1152" s="3" t="s">
        <v>977</v>
      </c>
      <c r="I1152" s="3" t="s">
        <v>979</v>
      </c>
    </row>
    <row r="1153" customFormat="false" ht="18.7" hidden="false" customHeight="true" outlineLevel="0" collapsed="false">
      <c r="A1153" s="1" t="n">
        <v>1152</v>
      </c>
    </row>
    <row r="1154" customFormat="false" ht="18.7" hidden="false" customHeight="true" outlineLevel="0" collapsed="false">
      <c r="A1154" s="1" t="n">
        <v>1153</v>
      </c>
    </row>
    <row r="1155" customFormat="false" ht="18.7" hidden="false" customHeight="true" outlineLevel="0" collapsed="false">
      <c r="A1155" s="1" t="n">
        <v>1154</v>
      </c>
      <c r="B1155" s="7" t="str">
        <f aca="false">HYPERLINK("https://mncourtfraud.com/file/AAH-1.zip","AAH-1.zip")</f>
        <v>AAH-1.zip</v>
      </c>
      <c r="C1155" s="8" t="str">
        <f aca="false">HYPERLINK("https://mncourtfraud.com/file/27-CR-22-18859.pdf","27-CR-22-18859")</f>
        <v>27-CR-22-18859</v>
      </c>
      <c r="D1155" s="3" t="s">
        <v>980</v>
      </c>
      <c r="E1155" s="8" t="str">
        <f aca="false">HYPERLINK("https://mncourtfraud.com/file/MCRO_27-CR-22-18859_Findings and Order_2022-11-30_20240429162343.pdf","MCRO_27-CR-22-18859_Findings and Order_2022-11-30_20240429162343.pdf")</f>
        <v>MCRO_27-CR-22-18859_Findings and Order_2022-11-30_20240429162343.pdf</v>
      </c>
      <c r="F1155" s="9" t="n">
        <v>44895</v>
      </c>
      <c r="G1155" s="1" t="s">
        <v>981</v>
      </c>
      <c r="H1155" s="3" t="s">
        <v>982</v>
      </c>
      <c r="I1155" s="3" t="s">
        <v>983</v>
      </c>
    </row>
    <row r="1156" customFormat="false" ht="18.7" hidden="false" customHeight="true" outlineLevel="0" collapsed="false">
      <c r="A1156" s="1" t="n">
        <v>1155</v>
      </c>
      <c r="B1156" s="7" t="str">
        <f aca="false">HYPERLINK("https://mncourtfraud.com/file/AAH-1.zip","AAH-1.zip")</f>
        <v>AAH-1.zip</v>
      </c>
      <c r="C1156" s="8" t="str">
        <f aca="false">HYPERLINK("https://mncourtfraud.com/file/27-CR-22-22985.pdf","27-CR-22-22985")</f>
        <v>27-CR-22-22985</v>
      </c>
      <c r="D1156" s="3" t="s">
        <v>980</v>
      </c>
      <c r="E1156" s="8" t="str">
        <f aca="false">HYPERLINK("https://mncourtfraud.com/file/MCRO_27-CR-22-22985_Findings and Order_2022-11-30_20240429164049.pdf","MCRO_27-CR-22-22985_Findings and Order_2022-11-30_20240429164049.pdf")</f>
        <v>MCRO_27-CR-22-22985_Findings and Order_2022-11-30_20240429164049.pdf</v>
      </c>
      <c r="F1156" s="9" t="n">
        <v>44895</v>
      </c>
      <c r="G1156" s="1" t="s">
        <v>981</v>
      </c>
      <c r="H1156" s="3" t="s">
        <v>982</v>
      </c>
      <c r="I1156" s="3" t="s">
        <v>983</v>
      </c>
    </row>
    <row r="1157" customFormat="false" ht="18.7" hidden="false" customHeight="true" outlineLevel="0" collapsed="false">
      <c r="A1157" s="1" t="n">
        <v>1156</v>
      </c>
      <c r="F1157" s="9"/>
    </row>
    <row r="1158" customFormat="false" ht="18.7" hidden="false" customHeight="true" outlineLevel="0" collapsed="false">
      <c r="A1158" s="1" t="n">
        <v>1157</v>
      </c>
      <c r="B1158" s="7" t="str">
        <f aca="false">HYPERLINK("https://mncourtfraud.com/file/AAH-2.zip","AAH-2.zip")</f>
        <v>AAH-2.zip</v>
      </c>
      <c r="C1158" s="8" t="str">
        <f aca="false">HYPERLINK("https://mncourtfraud.com/file/27-CR-22-18859.pdf","27-CR-22-18859")</f>
        <v>27-CR-22-18859</v>
      </c>
      <c r="D1158" s="3" t="s">
        <v>980</v>
      </c>
      <c r="E1158" s="8" t="str">
        <f aca="false">HYPERLINK("https://mncourtfraud.com/file/MCRO_27-CR-22-18859_Notice of Case Reassignment_2023-06-16_20240429162341.pdf","MCRO_27-CR-22-18859_Notice of Case Reassignment_2023-06-16_20240429162341.pdf")</f>
        <v>MCRO_27-CR-22-18859_Notice of Case Reassignment_2023-06-16_20240429162341.pdf</v>
      </c>
      <c r="F1158" s="9" t="n">
        <v>45093</v>
      </c>
      <c r="G1158" s="1" t="s">
        <v>984</v>
      </c>
      <c r="H1158" s="3" t="s">
        <v>985</v>
      </c>
      <c r="I1158" s="3" t="s">
        <v>986</v>
      </c>
    </row>
    <row r="1159" customFormat="false" ht="18.7" hidden="false" customHeight="true" outlineLevel="0" collapsed="false">
      <c r="A1159" s="1" t="n">
        <v>1158</v>
      </c>
      <c r="B1159" s="7" t="str">
        <f aca="false">HYPERLINK("https://mncourtfraud.com/file/AAH-2.zip","AAH-2.zip")</f>
        <v>AAH-2.zip</v>
      </c>
      <c r="C1159" s="8" t="str">
        <f aca="false">HYPERLINK("https://mncourtfraud.com/file/27-CR-22-22985.pdf","27-CR-22-22985")</f>
        <v>27-CR-22-22985</v>
      </c>
      <c r="D1159" s="3" t="s">
        <v>980</v>
      </c>
      <c r="E1159" s="8" t="str">
        <f aca="false">HYPERLINK("https://mncourtfraud.com/file/MCRO_27-CR-22-22985_Notice of Case Reassignment_2023-06-16_20240429164046.pdf","MCRO_27-CR-22-22985_Notice of Case Reassignment_2023-06-16_20240429164046.pdf")</f>
        <v>MCRO_27-CR-22-22985_Notice of Case Reassignment_2023-06-16_20240429164046.pdf</v>
      </c>
      <c r="F1159" s="9" t="n">
        <v>45093</v>
      </c>
      <c r="G1159" s="1" t="s">
        <v>984</v>
      </c>
      <c r="H1159" s="3" t="s">
        <v>987</v>
      </c>
      <c r="I1159" s="3" t="s">
        <v>988</v>
      </c>
    </row>
    <row r="1160" customFormat="false" ht="18.7" hidden="false" customHeight="true" outlineLevel="0" collapsed="false">
      <c r="A1160" s="1" t="n">
        <v>1159</v>
      </c>
      <c r="F1160" s="9"/>
    </row>
    <row r="1161" customFormat="false" ht="18.7" hidden="false" customHeight="true" outlineLevel="0" collapsed="false">
      <c r="A1161" s="1" t="n">
        <v>1160</v>
      </c>
      <c r="B1161" s="7" t="str">
        <f aca="false">HYPERLINK("https://mncourtfraud.com/file/AAH-3.zip","AAH-3.zip")</f>
        <v>AAH-3.zip</v>
      </c>
      <c r="C1161" s="8" t="str">
        <f aca="false">HYPERLINK("https://mncourtfraud.com/file/27-CR-22-18859.pdf","27-CR-22-18859")</f>
        <v>27-CR-22-18859</v>
      </c>
      <c r="D1161" s="3" t="s">
        <v>980</v>
      </c>
      <c r="E1161" s="8" t="str">
        <f aca="false">HYPERLINK("https://mncourtfraud.com/file/MCRO_27-CR-22-18859_Order-Other_2023-07-18_20240429162339.pdf","MCRO_27-CR-22-18859_Order-Other_2023-07-18_20240429162339.pdf")</f>
        <v>MCRO_27-CR-22-18859_Order-Other_2023-07-18_20240429162339.pdf</v>
      </c>
      <c r="F1161" s="9" t="n">
        <v>45125</v>
      </c>
      <c r="G1161" s="1" t="s">
        <v>989</v>
      </c>
      <c r="H1161" s="3" t="s">
        <v>990</v>
      </c>
      <c r="I1161" s="3" t="s">
        <v>991</v>
      </c>
      <c r="J1161" s="3" t="s">
        <v>55</v>
      </c>
      <c r="K1161" s="1" t="s">
        <v>992</v>
      </c>
      <c r="L1161" s="3" t="s">
        <v>993</v>
      </c>
    </row>
    <row r="1162" customFormat="false" ht="18.7" hidden="false" customHeight="true" outlineLevel="0" collapsed="false">
      <c r="A1162" s="1" t="n">
        <v>1161</v>
      </c>
      <c r="B1162" s="7" t="str">
        <f aca="false">HYPERLINK("https://mncourtfraud.com/file/AAH-3.zip","AAH-3.zip")</f>
        <v>AAH-3.zip</v>
      </c>
      <c r="C1162" s="8" t="str">
        <f aca="false">HYPERLINK("https://mncourtfraud.com/file/27-CR-22-22985.pdf","27-CR-22-22985")</f>
        <v>27-CR-22-22985</v>
      </c>
      <c r="D1162" s="3" t="s">
        <v>980</v>
      </c>
      <c r="E1162" s="8" t="str">
        <f aca="false">HYPERLINK("https://mncourtfraud.com/file/MCRO_27-CR-22-22985_Order-Other_2023-07-18_20240429164044.pdf","MCRO_27-CR-22-22985_Order-Other_2023-07-18_20240429164044.pdf")</f>
        <v>MCRO_27-CR-22-22985_Order-Other_2023-07-18_20240429164044.pdf</v>
      </c>
      <c r="F1162" s="9" t="n">
        <v>45125</v>
      </c>
      <c r="G1162" s="1" t="s">
        <v>989</v>
      </c>
      <c r="H1162" s="3" t="s">
        <v>990</v>
      </c>
      <c r="I1162" s="3" t="s">
        <v>991</v>
      </c>
      <c r="J1162" s="3" t="s">
        <v>55</v>
      </c>
      <c r="K1162" s="1" t="s">
        <v>992</v>
      </c>
      <c r="L1162" s="3" t="s">
        <v>993</v>
      </c>
    </row>
    <row r="1163" customFormat="false" ht="18.7" hidden="false" customHeight="true" outlineLevel="0" collapsed="false">
      <c r="A1163" s="1" t="n">
        <v>1162</v>
      </c>
      <c r="B1163" s="7" t="str">
        <f aca="false">HYPERLINK("https://mncourtfraud.com/file/AAH-3.zip","AAH-3.zip")</f>
        <v>AAH-3.zip</v>
      </c>
      <c r="C1163" s="8" t="str">
        <f aca="false">HYPERLINK("https://mncourtfraud.com/file/27-CR-22-18859.pdf","27-CR-22-18859")</f>
        <v>27-CR-22-18859</v>
      </c>
      <c r="D1163" s="3" t="s">
        <v>980</v>
      </c>
      <c r="E1163" s="8" t="str">
        <f aca="false">HYPERLINK("https://mncourtfraud.com/file/MCRO_27-CR-22-18859_Proposed Order or Document_2023-07-17_20240429162340.pdf","MCRO_27-CR-22-18859_Proposed Order or Document_2023-07-17_20240429162340.pdf")</f>
        <v>MCRO_27-CR-22-18859_Proposed Order or Document_2023-07-17_20240429162340.pdf</v>
      </c>
      <c r="F1163" s="9" t="n">
        <v>45124</v>
      </c>
      <c r="G1163" s="1" t="s">
        <v>989</v>
      </c>
      <c r="H1163" s="3" t="s">
        <v>990</v>
      </c>
      <c r="I1163" s="3" t="s">
        <v>994</v>
      </c>
    </row>
    <row r="1164" customFormat="false" ht="18.7" hidden="false" customHeight="true" outlineLevel="0" collapsed="false">
      <c r="A1164" s="1" t="n">
        <v>1163</v>
      </c>
      <c r="B1164" s="7" t="str">
        <f aca="false">HYPERLINK("https://mncourtfraud.com/file/AAH-3.zip","AAH-3.zip")</f>
        <v>AAH-3.zip</v>
      </c>
      <c r="C1164" s="8" t="str">
        <f aca="false">HYPERLINK("https://mncourtfraud.com/file/27-CR-22-22985.pdf","27-CR-22-22985")</f>
        <v>27-CR-22-22985</v>
      </c>
      <c r="D1164" s="3" t="s">
        <v>980</v>
      </c>
      <c r="E1164" s="8" t="str">
        <f aca="false">HYPERLINK("https://mncourtfraud.com/file/MCRO_27-CR-22-22985_Proposed Order or Document_2023-07-17_20240429164045.pdf","MCRO_27-CR-22-22985_Proposed Order or Document_2023-07-17_20240429164045.pdf")</f>
        <v>MCRO_27-CR-22-22985_Proposed Order or Document_2023-07-17_20240429164045.pdf</v>
      </c>
      <c r="F1164" s="9" t="n">
        <v>45124</v>
      </c>
      <c r="G1164" s="1" t="s">
        <v>989</v>
      </c>
      <c r="H1164" s="3" t="s">
        <v>990</v>
      </c>
      <c r="I1164" s="3" t="s">
        <v>995</v>
      </c>
    </row>
    <row r="1165" customFormat="false" ht="18.7" hidden="false" customHeight="true" outlineLevel="0" collapsed="false">
      <c r="A1165" s="1" t="n">
        <v>1164</v>
      </c>
      <c r="F1165" s="9"/>
    </row>
    <row r="1166" customFormat="false" ht="18.7" hidden="false" customHeight="true" outlineLevel="0" collapsed="false">
      <c r="A1166" s="1" t="n">
        <v>1165</v>
      </c>
      <c r="B1166" s="7" t="str">
        <f aca="false">HYPERLINK("https://mncourtfraud.com/file/AAH-4.zip","AAH-4.zip")</f>
        <v>AAH-4.zip</v>
      </c>
      <c r="C1166" s="8" t="str">
        <f aca="false">HYPERLINK("https://mncourtfraud.com/file/27-CR-22-18859.pdf","27-CR-22-18859")</f>
        <v>27-CR-22-18859</v>
      </c>
      <c r="D1166" s="3" t="s">
        <v>980</v>
      </c>
      <c r="E1166" s="8" t="str">
        <f aca="false">HYPERLINK("https://mncourtfraud.com/file/MCRO_27-CR-22-18859_Order-Evaluation for Competency to Proceed (Rule 20.01)_2023-09-18_20240429162338.pdf","MCRO_27-CR-22-18859_Order-Evaluation for Competency to Proceed (Rule 20.01)_2023-09-18_20240429162338.pdf")</f>
        <v>MCRO_27-CR-22-18859_Order-Evaluation for Competency to Proceed (Rule 20.01)_2023-09-18_20240429162338.pdf</v>
      </c>
      <c r="F1166" s="9" t="n">
        <v>45187</v>
      </c>
      <c r="G1166" s="1" t="s">
        <v>996</v>
      </c>
      <c r="H1166" s="3" t="s">
        <v>997</v>
      </c>
      <c r="I1166" s="3" t="s">
        <v>998</v>
      </c>
      <c r="J1166" s="3" t="s">
        <v>64</v>
      </c>
      <c r="K1166" s="1" t="s">
        <v>999</v>
      </c>
      <c r="L1166" s="3" t="s">
        <v>1000</v>
      </c>
    </row>
    <row r="1167" customFormat="false" ht="18.7" hidden="false" customHeight="true" outlineLevel="0" collapsed="false">
      <c r="A1167" s="1" t="n">
        <v>1166</v>
      </c>
      <c r="B1167" s="7" t="str">
        <f aca="false">HYPERLINK("https://mncourtfraud.com/file/AAH-4.zip","AAH-4.zip")</f>
        <v>AAH-4.zip</v>
      </c>
      <c r="C1167" s="8" t="str">
        <f aca="false">HYPERLINK("https://mncourtfraud.com/file/27-CR-22-22985.pdf","27-CR-22-22985")</f>
        <v>27-CR-22-22985</v>
      </c>
      <c r="D1167" s="3" t="s">
        <v>980</v>
      </c>
      <c r="E1167" s="8" t="str">
        <f aca="false">HYPERLINK("https://mncourtfraud.com/file/MCRO_27-CR-22-22985_Order-Evaluation for Competency to Proceed (Rule 20.01)_2023-09-18_20240429164043.pdf","MCRO_27-CR-22-22985_Order-Evaluation for Competency to Proceed (Rule 20.01)_2023-09-18_20240429164043.pdf")</f>
        <v>MCRO_27-CR-22-22985_Order-Evaluation for Competency to Proceed (Rule 20.01)_2023-09-18_20240429164043.pdf</v>
      </c>
      <c r="F1167" s="9" t="n">
        <v>45187</v>
      </c>
      <c r="G1167" s="1" t="s">
        <v>996</v>
      </c>
      <c r="H1167" s="3" t="s">
        <v>997</v>
      </c>
      <c r="I1167" s="3" t="s">
        <v>998</v>
      </c>
      <c r="J1167" s="3" t="s">
        <v>64</v>
      </c>
      <c r="K1167" s="1" t="s">
        <v>999</v>
      </c>
      <c r="L1167" s="3" t="s">
        <v>1000</v>
      </c>
    </row>
    <row r="1168" customFormat="false" ht="18.7" hidden="false" customHeight="true" outlineLevel="0" collapsed="false">
      <c r="A1168" s="1" t="n">
        <v>1167</v>
      </c>
      <c r="F1168" s="9"/>
    </row>
    <row r="1169" customFormat="false" ht="18.7" hidden="false" customHeight="true" outlineLevel="0" collapsed="false">
      <c r="A1169" s="1" t="n">
        <v>1168</v>
      </c>
      <c r="B1169" s="7" t="str">
        <f aca="false">HYPERLINK("https://mncourtfraud.com/file/AAH-5.zip","AAH-5.zip")</f>
        <v>AAH-5.zip</v>
      </c>
      <c r="C1169" s="8" t="str">
        <f aca="false">HYPERLINK("https://mncourtfraud.com/file/27-CR-22-18859.pdf","27-CR-22-18859")</f>
        <v>27-CR-22-18859</v>
      </c>
      <c r="D1169" s="3" t="s">
        <v>980</v>
      </c>
      <c r="E1169" s="8" t="str">
        <f aca="false">HYPERLINK("https://mncourtfraud.com/file/MCRO_27-CR-22-18859_Notice of Remote Hearing with Instructions_2023-12-05_20240429162336.pdf","MCRO_27-CR-22-18859_Notice of Remote Hearing with Instructions_2023-12-05_20240429162336.pdf")</f>
        <v>MCRO_27-CR-22-18859_Notice of Remote Hearing with Instructions_2023-12-05_20240429162336.pdf</v>
      </c>
      <c r="F1169" s="9" t="n">
        <v>45265</v>
      </c>
      <c r="G1169" s="1" t="s">
        <v>1001</v>
      </c>
      <c r="H1169" s="3" t="s">
        <v>1002</v>
      </c>
      <c r="I1169" s="3" t="s">
        <v>1003</v>
      </c>
    </row>
    <row r="1170" customFormat="false" ht="18.7" hidden="false" customHeight="true" outlineLevel="0" collapsed="false">
      <c r="A1170" s="1" t="n">
        <v>1169</v>
      </c>
      <c r="B1170" s="7" t="str">
        <f aca="false">HYPERLINK("https://mncourtfraud.com/file/AAH-5.zip","AAH-5.zip")</f>
        <v>AAH-5.zip</v>
      </c>
      <c r="C1170" s="8" t="str">
        <f aca="false">HYPERLINK("https://mncourtfraud.com/file/27-CR-22-22985.pdf","27-CR-22-22985")</f>
        <v>27-CR-22-22985</v>
      </c>
      <c r="D1170" s="3" t="s">
        <v>980</v>
      </c>
      <c r="E1170" s="8" t="str">
        <f aca="false">HYPERLINK("https://mncourtfraud.com/file/MCRO_27-CR-22-22985_Notice of Remote Hearing with Instructions_2023-12-05_20240429164041.pdf","MCRO_27-CR-22-22985_Notice of Remote Hearing with Instructions_2023-12-05_20240429164041.pdf")</f>
        <v>MCRO_27-CR-22-22985_Notice of Remote Hearing with Instructions_2023-12-05_20240429164041.pdf</v>
      </c>
      <c r="F1170" s="9" t="n">
        <v>45265</v>
      </c>
      <c r="G1170" s="1" t="s">
        <v>1001</v>
      </c>
      <c r="H1170" s="3" t="s">
        <v>1002</v>
      </c>
      <c r="I1170" s="3" t="s">
        <v>1003</v>
      </c>
    </row>
    <row r="1171" customFormat="false" ht="18.7" hidden="false" customHeight="true" outlineLevel="0" collapsed="false">
      <c r="A1171" s="1" t="n">
        <v>1170</v>
      </c>
      <c r="F1171" s="9"/>
    </row>
    <row r="1172" customFormat="false" ht="18.7" hidden="false" customHeight="true" outlineLevel="0" collapsed="false">
      <c r="A1172" s="1" t="n">
        <v>1171</v>
      </c>
      <c r="B1172" s="7" t="str">
        <f aca="false">HYPERLINK("https://mncourtfraud.com/file/AAH-6.zip","AAH-6.zip")</f>
        <v>AAH-6.zip</v>
      </c>
      <c r="C1172" s="8" t="str">
        <f aca="false">HYPERLINK("https://mncourtfraud.com/file/27-CR-22-18859.pdf","27-CR-22-18859")</f>
        <v>27-CR-22-18859</v>
      </c>
      <c r="D1172" s="3" t="s">
        <v>980</v>
      </c>
      <c r="E1172" s="8" t="str">
        <f aca="false">HYPERLINK("https://mncourtfraud.com/file/MCRO_27-CR-22-18859_Order-Evaluation for Competency to Proceed (Rule 20.01)_2023-12-06_20240429162335.pdf","MCRO_27-CR-22-18859_Order-Evaluation for Competency to Proceed (Rule 20.01)_2023-12-06_20240429162335.pdf")</f>
        <v>MCRO_27-CR-22-18859_Order-Evaluation for Competency to Proceed (Rule 20.01)_2023-12-06_20240429162335.pdf</v>
      </c>
      <c r="F1172" s="9" t="n">
        <v>45266</v>
      </c>
      <c r="G1172" s="1" t="s">
        <v>1004</v>
      </c>
      <c r="H1172" s="3" t="s">
        <v>1005</v>
      </c>
      <c r="I1172" s="3" t="s">
        <v>1006</v>
      </c>
      <c r="J1172" s="3" t="s">
        <v>145</v>
      </c>
      <c r="K1172" s="1" t="s">
        <v>1007</v>
      </c>
      <c r="L1172" s="3" t="s">
        <v>1008</v>
      </c>
      <c r="M1172" s="3" t="s">
        <v>55</v>
      </c>
      <c r="N1172" s="1" t="s">
        <v>1009</v>
      </c>
      <c r="O1172" s="3" t="s">
        <v>1010</v>
      </c>
    </row>
    <row r="1173" customFormat="false" ht="18.7" hidden="false" customHeight="true" outlineLevel="0" collapsed="false">
      <c r="A1173" s="1" t="n">
        <v>1172</v>
      </c>
      <c r="B1173" s="7" t="str">
        <f aca="false">HYPERLINK("https://mncourtfraud.com/file/AAH-6.zip","AAH-6.zip")</f>
        <v>AAH-6.zip</v>
      </c>
      <c r="C1173" s="8" t="str">
        <f aca="false">HYPERLINK("https://mncourtfraud.com/file/27-CR-22-22985.pdf","27-CR-22-22985")</f>
        <v>27-CR-22-22985</v>
      </c>
      <c r="D1173" s="3" t="s">
        <v>980</v>
      </c>
      <c r="E1173" s="8" t="str">
        <f aca="false">HYPERLINK("https://mncourtfraud.com/file/MCRO_27-CR-22-22985_Order-Evaluation for Competency to Proceed (Rule 20.01)_2023-12-06_20240429164041.pdf","MCRO_27-CR-22-22985_Order-Evaluation for Competency to Proceed (Rule 20.01)_2023-12-06_20240429164041.pdf")</f>
        <v>MCRO_27-CR-22-22985_Order-Evaluation for Competency to Proceed (Rule 20.01)_2023-12-06_20240429164041.pdf</v>
      </c>
      <c r="F1173" s="9" t="n">
        <v>45266</v>
      </c>
      <c r="G1173" s="1" t="s">
        <v>1004</v>
      </c>
      <c r="H1173" s="3" t="s">
        <v>1005</v>
      </c>
      <c r="I1173" s="3" t="s">
        <v>1006</v>
      </c>
      <c r="J1173" s="3" t="s">
        <v>145</v>
      </c>
      <c r="K1173" s="1" t="s">
        <v>1007</v>
      </c>
      <c r="L1173" s="3" t="s">
        <v>1008</v>
      </c>
      <c r="M1173" s="3" t="s">
        <v>55</v>
      </c>
      <c r="N1173" s="1" t="s">
        <v>1009</v>
      </c>
      <c r="O1173" s="3" t="s">
        <v>1010</v>
      </c>
    </row>
    <row r="1174" customFormat="false" ht="18.7" hidden="false" customHeight="true" outlineLevel="0" collapsed="false">
      <c r="A1174" s="1" t="n">
        <v>1173</v>
      </c>
      <c r="F1174" s="9"/>
    </row>
    <row r="1175" customFormat="false" ht="18.7" hidden="false" customHeight="true" outlineLevel="0" collapsed="false">
      <c r="A1175" s="1" t="n">
        <v>1174</v>
      </c>
      <c r="B1175" s="7" t="str">
        <f aca="false">HYPERLINK("https://mncourtfraud.com/file/AAH-7.zip","AAH-7.zip")</f>
        <v>AAH-7.zip</v>
      </c>
      <c r="C1175" s="8" t="str">
        <f aca="false">HYPERLINK("https://mncourtfraud.com/file/27-CR-22-18859.pdf","27-CR-22-18859")</f>
        <v>27-CR-22-18859</v>
      </c>
      <c r="D1175" s="3" t="s">
        <v>980</v>
      </c>
      <c r="E1175" s="8" t="str">
        <f aca="false">HYPERLINK("https://mncourtfraud.com/file/MCRO_27-CR-22-18859_Order-Evaluation for Competency to Proceed (Rule 20.01)_2023-12-28_20240429162330.pdf","MCRO_27-CR-22-18859_Order-Evaluation for Competency to Proceed (Rule 20.01)_2023-12-28_20240429162330.pdf")</f>
        <v>MCRO_27-CR-22-18859_Order-Evaluation for Competency to Proceed (Rule 20.01)_2023-12-28_20240429162330.pdf</v>
      </c>
      <c r="F1175" s="9" t="n">
        <v>45288</v>
      </c>
      <c r="G1175" s="1" t="s">
        <v>1011</v>
      </c>
      <c r="H1175" s="3" t="s">
        <v>1012</v>
      </c>
      <c r="I1175" s="3" t="s">
        <v>1013</v>
      </c>
      <c r="J1175" s="3" t="s">
        <v>1014</v>
      </c>
      <c r="K1175" s="1" t="s">
        <v>1015</v>
      </c>
      <c r="L1175" s="3" t="s">
        <v>1016</v>
      </c>
    </row>
    <row r="1176" customFormat="false" ht="18.7" hidden="false" customHeight="true" outlineLevel="0" collapsed="false">
      <c r="A1176" s="1" t="n">
        <v>1175</v>
      </c>
      <c r="B1176" s="7" t="str">
        <f aca="false">HYPERLINK("https://mncourtfraud.com/file/AAH-7.zip","AAH-7.zip")</f>
        <v>AAH-7.zip</v>
      </c>
      <c r="C1176" s="8" t="str">
        <f aca="false">HYPERLINK("https://mncourtfraud.com/file/27-CR-22-22985.pdf","27-CR-22-22985")</f>
        <v>27-CR-22-22985</v>
      </c>
      <c r="D1176" s="3" t="s">
        <v>980</v>
      </c>
      <c r="E1176" s="8" t="str">
        <f aca="false">HYPERLINK("https://mncourtfraud.com/file/MCRO_27-CR-22-22985_Order-Evaluation for Competency to Proceed (Rule 20.01)_2023-12-28_20240429164035.pdf","MCRO_27-CR-22-22985_Order-Evaluation for Competency to Proceed (Rule 20.01)_2023-12-28_20240429164035.pdf")</f>
        <v>MCRO_27-CR-22-22985_Order-Evaluation for Competency to Proceed (Rule 20.01)_2023-12-28_20240429164035.pdf</v>
      </c>
      <c r="F1176" s="9" t="n">
        <v>45288</v>
      </c>
      <c r="G1176" s="1" t="s">
        <v>1011</v>
      </c>
      <c r="H1176" s="3" t="s">
        <v>1012</v>
      </c>
      <c r="I1176" s="3" t="s">
        <v>1013</v>
      </c>
      <c r="J1176" s="3" t="s">
        <v>1014</v>
      </c>
      <c r="K1176" s="1" t="s">
        <v>1015</v>
      </c>
      <c r="L1176" s="3" t="s">
        <v>1016</v>
      </c>
    </row>
    <row r="1177" customFormat="false" ht="18.7" hidden="false" customHeight="true" outlineLevel="0" collapsed="false">
      <c r="A1177" s="1" t="n">
        <v>1176</v>
      </c>
      <c r="F1177" s="9"/>
    </row>
    <row r="1178" customFormat="false" ht="18.7" hidden="false" customHeight="true" outlineLevel="0" collapsed="false">
      <c r="A1178" s="1" t="n">
        <v>1177</v>
      </c>
      <c r="B1178" s="7" t="str">
        <f aca="false">HYPERLINK("https://mncourtfraud.com/file/AAH-8.zip","AAH-8.zip")</f>
        <v>AAH-8.zip</v>
      </c>
      <c r="C1178" s="8" t="str">
        <f aca="false">HYPERLINK("https://mncourtfraud.com/file/27-CR-22-18859.pdf","27-CR-22-18859")</f>
        <v>27-CR-22-18859</v>
      </c>
      <c r="D1178" s="3" t="s">
        <v>980</v>
      </c>
      <c r="E1178" s="8" t="str">
        <f aca="false">HYPERLINK("https://mncourtfraud.com/file/MCRO_27-CR-22-18859_Notice of Hearing_2024-01-08_20240429162329.pdf","MCRO_27-CR-22-18859_Notice of Hearing_2024-01-08_20240429162329.pdf")</f>
        <v>MCRO_27-CR-22-18859_Notice of Hearing_2024-01-08_20240429162329.pdf</v>
      </c>
      <c r="F1178" s="9" t="n">
        <v>45299</v>
      </c>
      <c r="G1178" s="1" t="s">
        <v>1017</v>
      </c>
      <c r="H1178" s="3" t="s">
        <v>1018</v>
      </c>
      <c r="I1178" s="3" t="s">
        <v>1019</v>
      </c>
    </row>
    <row r="1179" customFormat="false" ht="18.7" hidden="false" customHeight="true" outlineLevel="0" collapsed="false">
      <c r="A1179" s="1" t="n">
        <v>1178</v>
      </c>
      <c r="B1179" s="7" t="str">
        <f aca="false">HYPERLINK("https://mncourtfraud.com/file/AAH-8.zip","AAH-8.zip")</f>
        <v>AAH-8.zip</v>
      </c>
      <c r="C1179" s="8" t="str">
        <f aca="false">HYPERLINK("https://mncourtfraud.com/file/27-CR-22-22985.pdf","27-CR-22-22985")</f>
        <v>27-CR-22-22985</v>
      </c>
      <c r="D1179" s="3" t="s">
        <v>980</v>
      </c>
      <c r="E1179" s="8" t="str">
        <f aca="false">HYPERLINK("https://mncourtfraud.com/file/MCRO_27-CR-22-22985_Notice of Hearing_2023-12-29_20240429164034.pdf","MCRO_27-CR-22-22985_Notice of Hearing_2023-12-29_20240429164034.pdf")</f>
        <v>MCRO_27-CR-22-22985_Notice of Hearing_2023-12-29_20240429164034.pdf</v>
      </c>
      <c r="F1179" s="9" t="n">
        <v>45289</v>
      </c>
      <c r="G1179" s="1" t="s">
        <v>1017</v>
      </c>
      <c r="H1179" s="3" t="s">
        <v>1018</v>
      </c>
      <c r="I1179" s="3" t="s">
        <v>1019</v>
      </c>
    </row>
    <row r="1180" customFormat="false" ht="18.7" hidden="false" customHeight="true" outlineLevel="0" collapsed="false">
      <c r="A1180" s="1" t="n">
        <v>1179</v>
      </c>
      <c r="F1180" s="9"/>
    </row>
    <row r="1181" customFormat="false" ht="18.7" hidden="false" customHeight="true" outlineLevel="0" collapsed="false">
      <c r="A1181" s="1" t="n">
        <v>1180</v>
      </c>
      <c r="B1181" s="7" t="str">
        <f aca="false">HYPERLINK("https://mncourtfraud.com/file/AAH-9.zip","AAH-9.zip")</f>
        <v>AAH-9.zip</v>
      </c>
      <c r="C1181" s="8" t="str">
        <f aca="false">HYPERLINK("https://mncourtfraud.com/file/27-CR-22-18859.pdf","27-CR-22-18859")</f>
        <v>27-CR-22-18859</v>
      </c>
      <c r="D1181" s="3" t="s">
        <v>980</v>
      </c>
      <c r="E1181" s="8" t="str">
        <f aca="false">HYPERLINK("https://mncourtfraud.com/file/MCRO_27-CR-22-18859_Notice of Remote Hearing with Instructions_2024-01-22_20240429162327.pdf","MCRO_27-CR-22-18859_Notice of Remote Hearing with Instructions_2024-01-22_20240429162327.pdf")</f>
        <v>MCRO_27-CR-22-18859_Notice of Remote Hearing with Instructions_2024-01-22_20240429162327.pdf</v>
      </c>
      <c r="F1181" s="9" t="n">
        <v>45313</v>
      </c>
      <c r="G1181" s="1" t="s">
        <v>1020</v>
      </c>
      <c r="H1181" s="3" t="s">
        <v>1021</v>
      </c>
      <c r="I1181" s="3" t="s">
        <v>1022</v>
      </c>
    </row>
    <row r="1182" customFormat="false" ht="18.7" hidden="false" customHeight="true" outlineLevel="0" collapsed="false">
      <c r="A1182" s="1" t="n">
        <v>1181</v>
      </c>
      <c r="B1182" s="7" t="str">
        <f aca="false">HYPERLINK("https://mncourtfraud.com/file/AAH-9.zip","AAH-9.zip")</f>
        <v>AAH-9.zip</v>
      </c>
      <c r="C1182" s="8" t="str">
        <f aca="false">HYPERLINK("https://mncourtfraud.com/file/27-CR-22-22985.pdf","27-CR-22-22985")</f>
        <v>27-CR-22-22985</v>
      </c>
      <c r="D1182" s="3" t="s">
        <v>980</v>
      </c>
      <c r="E1182" s="8" t="str">
        <f aca="false">HYPERLINK("https://mncourtfraud.com/file/MCRO_27-CR-22-22985_Notice of Remote Hearing with Instructions_2024-01-22_20240429164032.pdf","MCRO_27-CR-22-22985_Notice of Remote Hearing with Instructions_2024-01-22_20240429164032.pdf")</f>
        <v>MCRO_27-CR-22-22985_Notice of Remote Hearing with Instructions_2024-01-22_20240429164032.pdf</v>
      </c>
      <c r="F1182" s="9" t="n">
        <v>45313</v>
      </c>
      <c r="G1182" s="1" t="s">
        <v>1020</v>
      </c>
      <c r="H1182" s="3" t="s">
        <v>1021</v>
      </c>
      <c r="I1182" s="3" t="s">
        <v>1022</v>
      </c>
    </row>
    <row r="1183" customFormat="false" ht="18.7" hidden="false" customHeight="true" outlineLevel="0" collapsed="false">
      <c r="A1183" s="1" t="n">
        <v>1182</v>
      </c>
      <c r="F1183" s="9"/>
    </row>
    <row r="1184" customFormat="false" ht="18.7" hidden="false" customHeight="true" outlineLevel="0" collapsed="false">
      <c r="A1184" s="1" t="n">
        <v>1183</v>
      </c>
      <c r="F1184" s="9"/>
    </row>
    <row r="1185" customFormat="false" ht="18.7" hidden="false" customHeight="true" outlineLevel="0" collapsed="false">
      <c r="A1185" s="1" t="n">
        <v>1184</v>
      </c>
      <c r="B1185" s="7" t="str">
        <f aca="false">HYPERLINK("https://mncourtfraud.com/file/MB-1.zip","MB-1.zip")</f>
        <v>MB-1.zip</v>
      </c>
      <c r="C1185" s="8" t="str">
        <f aca="false">HYPERLINK("https://mncourtfraud.com/file/27-CR-21-6229.pdf","27-CR-21-6229")</f>
        <v>27-CR-21-6229</v>
      </c>
      <c r="D1185" s="3" t="s">
        <v>1023</v>
      </c>
      <c r="E1185" s="8" t="str">
        <f aca="false">HYPERLINK("https://mncourtfraud.com/file/MCRO_27-CR-21-6229_Order for Production of Medical Records_2021-08-30_20240430080230.pdf","MCRO_27-CR-21-6229_Order for Production of Medical Records_2021-08-30_20240430080230.pdf")</f>
        <v>MCRO_27-CR-21-6229_Order for Production of Medical Records_2021-08-30_20240430080230.pdf</v>
      </c>
      <c r="F1185" s="9" t="n">
        <v>44438</v>
      </c>
      <c r="G1185" s="1" t="s">
        <v>1024</v>
      </c>
      <c r="H1185" s="3" t="s">
        <v>1025</v>
      </c>
      <c r="I1185" s="3" t="s">
        <v>1026</v>
      </c>
    </row>
    <row r="1186" customFormat="false" ht="18.7" hidden="false" customHeight="true" outlineLevel="0" collapsed="false">
      <c r="A1186" s="1" t="n">
        <v>1185</v>
      </c>
      <c r="B1186" s="7" t="str">
        <f aca="false">HYPERLINK("https://mncourtfraud.com/file/MB-1.zip","MB-1.zip")</f>
        <v>MB-1.zip</v>
      </c>
      <c r="C1186" s="8" t="str">
        <f aca="false">HYPERLINK("https://mncourtfraud.com/file/27-CR-21-6229.pdf","27-CR-21-6229")</f>
        <v>27-CR-21-6229</v>
      </c>
      <c r="D1186" s="3" t="s">
        <v>1023</v>
      </c>
      <c r="E1186" s="8" t="str">
        <f aca="false">HYPERLINK("https://mncourtfraud.com/file/MCRO_27-CR-21-6229_Proposed Order or Document_2021-08-30_20240430080231.pdf","MCRO_27-CR-21-6229_Proposed Order or Document_2021-08-30_20240430080231.pdf")</f>
        <v>MCRO_27-CR-21-6229_Proposed Order or Document_2021-08-30_20240430080231.pdf</v>
      </c>
      <c r="F1186" s="9" t="n">
        <v>44438</v>
      </c>
      <c r="G1186" s="1" t="s">
        <v>1024</v>
      </c>
      <c r="H1186" s="3" t="s">
        <v>1025</v>
      </c>
      <c r="I1186" s="3" t="s">
        <v>1027</v>
      </c>
    </row>
    <row r="1189" customFormat="false" ht="18.7" hidden="false" customHeight="true" outlineLevel="0" collapsed="false">
      <c r="F1189" s="9"/>
    </row>
    <row r="1190" customFormat="false" ht="18.7" hidden="false" customHeight="true" outlineLevel="0" collapsed="false">
      <c r="F1190" s="9"/>
    </row>
    <row r="1191" customFormat="false" ht="18.7" hidden="false" customHeight="true" outlineLevel="0" collapsed="false">
      <c r="F1191" s="9"/>
    </row>
    <row r="1192" customFormat="false" ht="18.7" hidden="false" customHeight="true" outlineLevel="0" collapsed="false">
      <c r="F1192" s="9"/>
    </row>
    <row r="1193" customFormat="false" ht="18.7" hidden="false" customHeight="true" outlineLevel="0" collapsed="false">
      <c r="F1193" s="9"/>
    </row>
    <row r="1194" customFormat="false" ht="18.7" hidden="false" customHeight="true" outlineLevel="0" collapsed="false">
      <c r="F1194" s="9"/>
    </row>
    <row r="1195" customFormat="false" ht="18.7" hidden="false" customHeight="true" outlineLevel="0" collapsed="false">
      <c r="F1195" s="9"/>
    </row>
    <row r="1196" customFormat="false" ht="18.7" hidden="false" customHeight="true" outlineLevel="0" collapsed="false">
      <c r="F1196" s="9"/>
    </row>
    <row r="1197" customFormat="false" ht="18.7" hidden="false" customHeight="true" outlineLevel="0" collapsed="false">
      <c r="F1197" s="9"/>
    </row>
    <row r="1198" customFormat="false" ht="18.7" hidden="false" customHeight="true" outlineLevel="0" collapsed="false">
      <c r="F1198" s="9"/>
    </row>
    <row r="1199" customFormat="false" ht="18.7" hidden="false" customHeight="true" outlineLevel="0" collapsed="false">
      <c r="F1199" s="9"/>
    </row>
    <row r="1200" customFormat="false" ht="18.7" hidden="false" customHeight="true" outlineLevel="0" collapsed="false">
      <c r="F1200" s="9"/>
    </row>
    <row r="1201" customFormat="false" ht="18.7" hidden="false" customHeight="true" outlineLevel="0" collapsed="false">
      <c r="F1201" s="9"/>
    </row>
    <row r="1202" customFormat="false" ht="18.7" hidden="false" customHeight="true" outlineLevel="0" collapsed="false">
      <c r="F1202" s="9"/>
    </row>
    <row r="1203" customFormat="false" ht="18.7" hidden="false" customHeight="true" outlineLevel="0" collapsed="false">
      <c r="F1203" s="9"/>
    </row>
    <row r="1204" customFormat="false" ht="18.7" hidden="false" customHeight="true" outlineLevel="0" collapsed="false">
      <c r="F1204" s="9"/>
    </row>
    <row r="1205" customFormat="false" ht="18.7" hidden="false" customHeight="true" outlineLevel="0" collapsed="false">
      <c r="F1205" s="9"/>
    </row>
    <row r="1206" customFormat="false" ht="18.7" hidden="false" customHeight="true" outlineLevel="0" collapsed="false">
      <c r="F1206" s="9"/>
    </row>
    <row r="1207" customFormat="false" ht="18.7" hidden="false" customHeight="true" outlineLevel="0" collapsed="false">
      <c r="F1207" s="9"/>
    </row>
    <row r="1208" customFormat="false" ht="18.7" hidden="false" customHeight="true" outlineLevel="0" collapsed="false">
      <c r="F1208" s="9"/>
    </row>
    <row r="1209" customFormat="false" ht="18.7" hidden="false" customHeight="true" outlineLevel="0" collapsed="false">
      <c r="F1209" s="9"/>
    </row>
    <row r="1210" customFormat="false" ht="18.7" hidden="false" customHeight="true" outlineLevel="0" collapsed="false">
      <c r="F1210" s="9"/>
    </row>
    <row r="1211" customFormat="false" ht="18.7" hidden="false" customHeight="true" outlineLevel="0" collapsed="false">
      <c r="F1211" s="9"/>
    </row>
    <row r="1212" customFormat="false" ht="18.7" hidden="false" customHeight="true" outlineLevel="0" collapsed="false">
      <c r="F1212" s="9"/>
    </row>
    <row r="1213" customFormat="false" ht="18.7" hidden="false" customHeight="true" outlineLevel="0" collapsed="false">
      <c r="F1213" s="9"/>
    </row>
    <row r="1214" customFormat="false" ht="18.7" hidden="false" customHeight="true" outlineLevel="0" collapsed="false">
      <c r="F1214" s="9"/>
    </row>
    <row r="1215" customFormat="false" ht="18.7" hidden="false" customHeight="true" outlineLevel="0" collapsed="false">
      <c r="F1215" s="9"/>
    </row>
    <row r="1216" customFormat="false" ht="18.7" hidden="false" customHeight="true" outlineLevel="0" collapsed="false">
      <c r="F1216" s="9"/>
    </row>
    <row r="1217" customFormat="false" ht="18.7" hidden="false" customHeight="true" outlineLevel="0" collapsed="false">
      <c r="F1217" s="9"/>
    </row>
    <row r="1218" customFormat="false" ht="18.7" hidden="false" customHeight="true" outlineLevel="0" collapsed="false">
      <c r="F1218" s="9"/>
    </row>
    <row r="1219" customFormat="false" ht="18.7" hidden="false" customHeight="true" outlineLevel="0" collapsed="false">
      <c r="F1219" s="9"/>
    </row>
    <row r="1220" customFormat="false" ht="18.7" hidden="false" customHeight="true" outlineLevel="0" collapsed="false">
      <c r="F1220" s="9"/>
    </row>
    <row r="1221" customFormat="false" ht="18.7" hidden="false" customHeight="true" outlineLevel="0" collapsed="false">
      <c r="F1221" s="9"/>
    </row>
    <row r="1222" customFormat="false" ht="18.7" hidden="false" customHeight="true" outlineLevel="0" collapsed="false">
      <c r="F1222" s="9"/>
    </row>
    <row r="1223" customFormat="false" ht="18.7" hidden="false" customHeight="true" outlineLevel="0" collapsed="false">
      <c r="F1223" s="9"/>
    </row>
    <row r="1224" customFormat="false" ht="18.7" hidden="false" customHeight="true" outlineLevel="0" collapsed="false">
      <c r="F1224" s="9"/>
    </row>
    <row r="1225" customFormat="false" ht="18.7" hidden="false" customHeight="true" outlineLevel="0" collapsed="false">
      <c r="F1225" s="9"/>
    </row>
    <row r="1226" customFormat="false" ht="18.7" hidden="false" customHeight="true" outlineLevel="0" collapsed="false">
      <c r="F1226" s="9"/>
    </row>
    <row r="1227" customFormat="false" ht="18.7" hidden="false" customHeight="true" outlineLevel="0" collapsed="false">
      <c r="F1227" s="9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5" activeCellId="0" sqref="F15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2" width="16.2"/>
    <col collapsed="false" customWidth="true" hidden="false" outlineLevel="0" max="3" min="3" style="3" width="21.39"/>
    <col collapsed="false" customWidth="true" hidden="false" outlineLevel="0" max="4" min="4" style="3" width="38.02"/>
    <col collapsed="false" customWidth="true" hidden="false" outlineLevel="0" max="5" min="5" style="3" width="124.35"/>
    <col collapsed="false" customWidth="true" hidden="false" outlineLevel="0" max="6" min="6" style="1" width="30.97"/>
    <col collapsed="false" customWidth="true" hidden="false" outlineLevel="0" max="7" min="7" style="1" width="21.39"/>
    <col collapsed="false" customWidth="true" hidden="false" outlineLevel="0" max="8" min="8" style="1" width="36.26"/>
    <col collapsed="false" customWidth="false" hidden="false" outlineLevel="0" max="1022" min="9" style="4" width="11.52"/>
  </cols>
  <sheetData>
    <row r="1" customFormat="false" ht="23.05" hidden="false" customHeight="true" outlineLevel="0" collapsed="false">
      <c r="A1" s="5" t="s">
        <v>0</v>
      </c>
      <c r="B1" s="12" t="s">
        <v>1</v>
      </c>
      <c r="C1" s="5" t="s">
        <v>1028</v>
      </c>
      <c r="D1" s="5" t="s">
        <v>3</v>
      </c>
      <c r="E1" s="5" t="s">
        <v>4</v>
      </c>
      <c r="F1" s="5" t="s">
        <v>6</v>
      </c>
      <c r="G1" s="5" t="s">
        <v>1029</v>
      </c>
      <c r="H1" s="5" t="s">
        <v>1030</v>
      </c>
    </row>
    <row r="2" customFormat="false" ht="18.7" hidden="false" customHeight="true" outlineLevel="0" collapsed="false">
      <c r="A2" s="1" t="n">
        <v>1</v>
      </c>
      <c r="B2" s="7" t="str">
        <f aca="false">HYPERLINK("https://mncourtfraud.com/file/MDG-1.zip","MDG-1.zip")</f>
        <v>MDG-1.zip</v>
      </c>
      <c r="C2" s="8" t="str">
        <f aca="false">HYPERLINK("https://mncourtfraud.com/file/27-CR-23-1886.pdf","27-CR-23-1886")</f>
        <v>27-CR-23-1886</v>
      </c>
      <c r="D2" s="3" t="s">
        <v>1031</v>
      </c>
      <c r="E2" s="8" t="str">
        <f aca="false">HYPERLINK("https://mncourtfraud.com/file/MCRO_27-CR-23-1886_Non-Cash Bond Posted_2023-01-25_20240430072405.pdf","MCRO_27-CR-23-1886_Non-Cash Bond Posted_2023-01-25_20240430072405.pdf")</f>
        <v>MCRO_27-CR-23-1886_Non-Cash Bond Posted_2023-01-25_20240430072405.pdf</v>
      </c>
      <c r="F2" s="1" t="s">
        <v>1032</v>
      </c>
      <c r="G2" s="9" t="n">
        <v>44951</v>
      </c>
      <c r="H2" s="1" t="n">
        <v>1</v>
      </c>
    </row>
    <row r="3" customFormat="false" ht="18.7" hidden="false" customHeight="true" outlineLevel="0" collapsed="false">
      <c r="A3" s="1" t="n">
        <v>2</v>
      </c>
      <c r="B3" s="7" t="str">
        <f aca="false">HYPERLINK("https://mncourtfraud.com/file/MDG-1.zip","MDG-1.zip")</f>
        <v>MDG-1.zip</v>
      </c>
      <c r="C3" s="8" t="str">
        <f aca="false">HYPERLINK("https://mncourtfraud.com/file/27-CR-23-1886.pdf","27-CR-23-1886")</f>
        <v>27-CR-23-1886</v>
      </c>
      <c r="D3" s="3" t="s">
        <v>1031</v>
      </c>
      <c r="E3" s="8" t="str">
        <f aca="false">HYPERLINK("https://mncourtfraud.com/file/MCRO_27-CR-23-1886_Law Enforcement Notice of Release and Appearance_2023-01-25_20240430072404.pdf","MCRO_27-CR-23-1886_Law Enforcement Notice of Release and Appearance_2023-01-25_20240430072404.pdf")</f>
        <v>MCRO_27-CR-23-1886_Law Enforcement Notice of Release and Appearance_2023-01-25_20240430072404.pdf</v>
      </c>
      <c r="F3" s="1" t="s">
        <v>1033</v>
      </c>
      <c r="G3" s="9" t="n">
        <v>44951</v>
      </c>
      <c r="H3" s="1" t="n">
        <v>1</v>
      </c>
    </row>
    <row r="4" customFormat="false" ht="18.7" hidden="false" customHeight="true" outlineLevel="0" collapsed="false">
      <c r="A4" s="1" t="n">
        <v>3</v>
      </c>
      <c r="H4" s="3"/>
    </row>
    <row r="5" customFormat="false" ht="18.7" hidden="false" customHeight="true" outlineLevel="0" collapsed="false">
      <c r="A5" s="1" t="n">
        <v>4</v>
      </c>
      <c r="B5" s="7" t="str">
        <f aca="false">HYPERLINK("https://mncourtfraud.com/file/LPK-14.zip","LPK-14.zip")</f>
        <v>LPK-14.zip</v>
      </c>
      <c r="C5" s="8" t="str">
        <f aca="false">HYPERLINK("https://mncourtfraud.com/file/27-CR-21-8067.pdf","27-CR-21-8067")</f>
        <v>27-CR-21-8067</v>
      </c>
      <c r="D5" s="3" t="s">
        <v>15</v>
      </c>
      <c r="E5" s="8" t="str">
        <f aca="false">HYPERLINK("https://mncourtfraud.com/file/MCRO_27-CR-21-8067_Notice of Case Reassignment_2024-01-12_20240430080634.pdf","MCRO_27-CR-21-8067_Notice of Case Reassignment_2024-01-12_20240430080634.pdf")</f>
        <v>MCRO_27-CR-21-8067_Notice of Case Reassignment_2024-01-12_20240430080634.pdf</v>
      </c>
      <c r="F5" s="1" t="s">
        <v>1034</v>
      </c>
      <c r="G5" s="9" t="n">
        <v>45303</v>
      </c>
      <c r="H5" s="1" t="n">
        <v>10</v>
      </c>
    </row>
    <row r="6" customFormat="false" ht="18.7" hidden="false" customHeight="true" outlineLevel="0" collapsed="false">
      <c r="A6" s="1" t="n">
        <v>5</v>
      </c>
      <c r="B6" s="7" t="str">
        <f aca="false">HYPERLINK("https://mncourtfraud.com/file/LPK-14.zip","LPK-14.zip")</f>
        <v>LPK-14.zip</v>
      </c>
      <c r="C6" s="8" t="str">
        <f aca="false">HYPERLINK("https://mncourtfraud.com/file/27-CR-21-8227.pdf","27-CR-21-8227")</f>
        <v>27-CR-21-8227</v>
      </c>
      <c r="D6" s="3" t="s">
        <v>15</v>
      </c>
      <c r="E6" s="8" t="str">
        <f aca="false">HYPERLINK("https://mncourtfraud.com/file/MCRO_27-CR-21-8227_Notice of Case Reassignment_2024-01-12_20240430080727.pdf","MCRO_27-CR-21-8227_Notice of Case Reassignment_2024-01-12_20240430080727.pdf")</f>
        <v>MCRO_27-CR-21-8227_Notice of Case Reassignment_2024-01-12_20240430080727.pdf</v>
      </c>
      <c r="F6" s="1" t="s">
        <v>1035</v>
      </c>
      <c r="G6" s="9" t="n">
        <v>45303</v>
      </c>
      <c r="H6" s="1" t="n">
        <v>10</v>
      </c>
    </row>
    <row r="7" customFormat="false" ht="18.7" hidden="false" customHeight="true" outlineLevel="0" collapsed="false">
      <c r="A7" s="1" t="n">
        <v>6</v>
      </c>
      <c r="B7" s="7" t="str">
        <f aca="false">HYPERLINK("https://mncourtfraud.com/file/LPK-14.zip","LPK-14.zip")</f>
        <v>LPK-14.zip</v>
      </c>
      <c r="C7" s="8" t="str">
        <f aca="false">HYPERLINK("https://mncourtfraud.com/file/27-CR-21-8228.pdf","27-CR-21-8228")</f>
        <v>27-CR-21-8228</v>
      </c>
      <c r="D7" s="3" t="s">
        <v>15</v>
      </c>
      <c r="E7" s="8" t="str">
        <f aca="false">HYPERLINK("https://mncourtfraud.com/file/MCRO_27-CR-21-8228_Notice of Case Reassignment_2024-01-12_20240430080819.pdf","MCRO_27-CR-21-8228_Notice of Case Reassignment_2024-01-12_20240430080819.pdf")</f>
        <v>MCRO_27-CR-21-8228_Notice of Case Reassignment_2024-01-12_20240430080819.pdf</v>
      </c>
      <c r="F7" s="1" t="s">
        <v>1036</v>
      </c>
      <c r="G7" s="9" t="n">
        <v>45303</v>
      </c>
      <c r="H7" s="1" t="n">
        <v>10</v>
      </c>
    </row>
    <row r="8" customFormat="false" ht="18.7" hidden="false" customHeight="true" outlineLevel="0" collapsed="false">
      <c r="A8" s="1" t="n">
        <v>7</v>
      </c>
      <c r="B8" s="7" t="str">
        <f aca="false">HYPERLINK("https://mncourtfraud.com/file/LPK-14.zip","LPK-14.zip")</f>
        <v>LPK-14.zip</v>
      </c>
      <c r="C8" s="8" t="str">
        <f aca="false">HYPERLINK("https://mncourtfraud.com/file/27-CR-21-8229.pdf","27-CR-21-8229")</f>
        <v>27-CR-21-8229</v>
      </c>
      <c r="D8" s="3" t="s">
        <v>15</v>
      </c>
      <c r="E8" s="8" t="str">
        <f aca="false">HYPERLINK("https://mncourtfraud.com/file/MCRO_27-CR-21-8229_Notice of Case Reassignment_2024-01-12_20240430081518.pdf","MCRO_27-CR-21-8229_Notice of Case Reassignment_2024-01-12_20240430081518.pdf")</f>
        <v>MCRO_27-CR-21-8229_Notice of Case Reassignment_2024-01-12_20240430081518.pdf</v>
      </c>
      <c r="F8" s="1" t="s">
        <v>1037</v>
      </c>
      <c r="G8" s="9" t="n">
        <v>45303</v>
      </c>
      <c r="H8" s="1" t="n">
        <v>10</v>
      </c>
    </row>
    <row r="9" customFormat="false" ht="18.7" hidden="false" customHeight="true" outlineLevel="0" collapsed="false">
      <c r="A9" s="1" t="n">
        <v>8</v>
      </c>
      <c r="B9" s="7" t="str">
        <f aca="false">HYPERLINK("https://mncourtfraud.com/file/LPK-14.zip","LPK-14.zip")</f>
        <v>LPK-14.zip</v>
      </c>
      <c r="C9" s="8" t="str">
        <f aca="false">HYPERLINK("https://mncourtfraud.com/file/27-CR-21-8230.pdf","27-CR-21-8230")</f>
        <v>27-CR-21-8230</v>
      </c>
      <c r="D9" s="3" t="s">
        <v>15</v>
      </c>
      <c r="E9" s="8" t="str">
        <f aca="false">HYPERLINK("https://mncourtfraud.com/file/MCRO_27-CR-21-8230_Notice of Case Reassignment_2024-01-12_20240430081635.pdf","MCRO_27-CR-21-8230_Notice of Case Reassignment_2024-01-12_20240430081635.pdf")</f>
        <v>MCRO_27-CR-21-8230_Notice of Case Reassignment_2024-01-12_20240430081635.pdf</v>
      </c>
      <c r="F9" s="1" t="s">
        <v>1038</v>
      </c>
      <c r="G9" s="9" t="n">
        <v>45303</v>
      </c>
      <c r="H9" s="1" t="n">
        <v>10</v>
      </c>
    </row>
    <row r="10" customFormat="false" ht="18.7" hidden="false" customHeight="true" outlineLevel="0" collapsed="false">
      <c r="A10" s="1" t="n">
        <v>9</v>
      </c>
      <c r="B10" s="7" t="str">
        <f aca="false">HYPERLINK("https://mncourtfraud.com/file/LPK-14.zip","LPK-14.zip")</f>
        <v>LPK-14.zip</v>
      </c>
      <c r="C10" s="8" t="str">
        <f aca="false">HYPERLINK("https://mncourtfraud.com/file/27-CR-22-17300.pdf","27-CR-22-17300")</f>
        <v>27-CR-22-17300</v>
      </c>
      <c r="D10" s="3" t="s">
        <v>15</v>
      </c>
      <c r="E10" s="8" t="str">
        <f aca="false">HYPERLINK("https://mncourtfraud.com/file/MCRO_27-CR-22-17300_Notice of Case Reassignment_2024-01-12_20240429161957.pdf","MCRO_27-CR-22-17300_Notice of Case Reassignment_2024-01-12_20240429161957.pdf")</f>
        <v>MCRO_27-CR-22-17300_Notice of Case Reassignment_2024-01-12_20240429161957.pdf</v>
      </c>
      <c r="F10" s="1" t="s">
        <v>1039</v>
      </c>
      <c r="G10" s="9" t="n">
        <v>45303</v>
      </c>
      <c r="H10" s="1" t="n">
        <v>10</v>
      </c>
    </row>
    <row r="11" customFormat="false" ht="18.7" hidden="false" customHeight="true" outlineLevel="0" collapsed="false">
      <c r="A11" s="1" t="n">
        <v>10</v>
      </c>
      <c r="B11" s="7" t="str">
        <f aca="false">HYPERLINK("https://mncourtfraud.com/file/LPK-14.zip","LPK-14.zip")</f>
        <v>LPK-14.zip</v>
      </c>
      <c r="C11" s="8" t="str">
        <f aca="false">HYPERLINK("https://mncourtfraud.com/file/27-CR-23-5751.pdf","27-CR-23-5751")</f>
        <v>27-CR-23-5751</v>
      </c>
      <c r="D11" s="3" t="s">
        <v>15</v>
      </c>
      <c r="E11" s="8" t="str">
        <f aca="false">HYPERLINK("https://mncourtfraud.com/file/MCRO_27-CR-23-5751_Notice of Case Reassignment_2024-01-12_20240430073238.pdf","MCRO_27-CR-23-5751_Notice of Case Reassignment_2024-01-12_20240430073238.pdf")</f>
        <v>MCRO_27-CR-23-5751_Notice of Case Reassignment_2024-01-12_20240430073238.pdf</v>
      </c>
      <c r="F11" s="1" t="s">
        <v>1040</v>
      </c>
      <c r="G11" s="9" t="n">
        <v>45303</v>
      </c>
      <c r="H11" s="1" t="n">
        <v>10</v>
      </c>
    </row>
    <row r="12" customFormat="false" ht="18.7" hidden="false" customHeight="true" outlineLevel="0" collapsed="false">
      <c r="A12" s="1" t="n">
        <v>11</v>
      </c>
      <c r="B12" s="7" t="str">
        <f aca="false">HYPERLINK("https://mncourtfraud.com/file/LPK-14.zip","LPK-14.zip")</f>
        <v>LPK-14.zip</v>
      </c>
      <c r="C12" s="8" t="str">
        <f aca="false">HYPERLINK("https://mncourtfraud.com/file/27-CR-21-6904.pdf","27-CR-21-6904")</f>
        <v>27-CR-21-6904</v>
      </c>
      <c r="D12" s="3" t="s">
        <v>15</v>
      </c>
      <c r="E12" s="8" t="str">
        <f aca="false">HYPERLINK("https://mncourtfraud.com/file/MCRO_27-CR-21-6904_Notice of Case Reassignment_2022-04-01_20240430080502.pdf","MCRO_27-CR-21-6904_Notice of Case Reassignment_2022-04-01_20240430080502.pdf")</f>
        <v>MCRO_27-CR-21-6904_Notice of Case Reassignment_2022-04-01_20240430080502.pdf</v>
      </c>
      <c r="F12" s="1" t="s">
        <v>1041</v>
      </c>
      <c r="G12" s="9" t="n">
        <v>44652</v>
      </c>
      <c r="H12" s="1" t="n">
        <v>6</v>
      </c>
    </row>
    <row r="13" customFormat="false" ht="18.7" hidden="false" customHeight="true" outlineLevel="0" collapsed="false">
      <c r="A13" s="1" t="n">
        <v>12</v>
      </c>
      <c r="B13" s="7" t="str">
        <f aca="false">HYPERLINK("https://mncourtfraud.com/file/LPK-14.zip","LPK-14.zip")</f>
        <v>LPK-14.zip</v>
      </c>
      <c r="C13" s="8" t="str">
        <f aca="false">HYPERLINK("https://mncourtfraud.com/file/27-CR-21-8067.pdf","27-CR-21-8067")</f>
        <v>27-CR-21-8067</v>
      </c>
      <c r="D13" s="3" t="s">
        <v>15</v>
      </c>
      <c r="E13" s="8" t="str">
        <f aca="false">HYPERLINK("https://mncourtfraud.com/file/MCRO_27-CR-21-8067_Notice of Case Reassignment_2022-04-01_20240430080646.pdf","MCRO_27-CR-21-8067_Notice of Case Reassignment_2022-04-01_20240430080646.pdf")</f>
        <v>MCRO_27-CR-21-8067_Notice of Case Reassignment_2022-04-01_20240430080646.pdf</v>
      </c>
      <c r="F13" s="1" t="s">
        <v>1042</v>
      </c>
      <c r="G13" s="9" t="n">
        <v>44652</v>
      </c>
      <c r="H13" s="1" t="n">
        <v>6</v>
      </c>
    </row>
    <row r="14" customFormat="false" ht="18.7" hidden="false" customHeight="true" outlineLevel="0" collapsed="false">
      <c r="A14" s="1" t="n">
        <v>13</v>
      </c>
      <c r="B14" s="7" t="str">
        <f aca="false">HYPERLINK("https://mncourtfraud.com/file/LPK-14.zip","LPK-14.zip")</f>
        <v>LPK-14.zip</v>
      </c>
      <c r="C14" s="8" t="str">
        <f aca="false">HYPERLINK("https://mncourtfraud.com/file/27-CR-21-8228.pdf","27-CR-21-8228")</f>
        <v>27-CR-21-8228</v>
      </c>
      <c r="D14" s="3" t="s">
        <v>15</v>
      </c>
      <c r="E14" s="8" t="str">
        <f aca="false">HYPERLINK("https://mncourtfraud.com/file/MCRO_27-CR-21-8228_Notice of Case Reassignment_2022-04-01_20240430080832.pdf","MCRO_27-CR-21-8228_Notice of Case Reassignment_2022-04-01_20240430080832.pdf")</f>
        <v>MCRO_27-CR-21-8228_Notice of Case Reassignment_2022-04-01_20240430080832.pdf</v>
      </c>
      <c r="F14" s="1" t="s">
        <v>1043</v>
      </c>
      <c r="G14" s="9" t="n">
        <v>44652</v>
      </c>
      <c r="H14" s="1" t="n">
        <v>6</v>
      </c>
    </row>
    <row r="15" customFormat="false" ht="18.7" hidden="false" customHeight="true" outlineLevel="0" collapsed="false">
      <c r="A15" s="1" t="n">
        <v>14</v>
      </c>
      <c r="B15" s="7" t="str">
        <f aca="false">HYPERLINK("https://mncourtfraud.com/file/LPK-14.zip","LPK-14.zip")</f>
        <v>LPK-14.zip</v>
      </c>
      <c r="C15" s="8" t="str">
        <f aca="false">HYPERLINK("https://mncourtfraud.com/file/27-CR-21-8229.pdf","27-CR-21-8229")</f>
        <v>27-CR-21-8229</v>
      </c>
      <c r="D15" s="3" t="s">
        <v>15</v>
      </c>
      <c r="E15" s="8" t="str">
        <f aca="false">HYPERLINK("https://mncourtfraud.com/file/MCRO_27-CR-21-8229_Notice of Case Reassignment_2022-04-01_20240430081529.pdf","MCRO_27-CR-21-8229_Notice of Case Reassignment_2022-04-01_20240430081529.pdf")</f>
        <v>MCRO_27-CR-21-8229_Notice of Case Reassignment_2022-04-01_20240430081529.pdf</v>
      </c>
      <c r="F15" s="1" t="s">
        <v>1044</v>
      </c>
      <c r="G15" s="9" t="n">
        <v>44652</v>
      </c>
      <c r="H15" s="1" t="n">
        <v>6</v>
      </c>
    </row>
    <row r="16" customFormat="false" ht="18.7" hidden="false" customHeight="true" outlineLevel="0" collapsed="false">
      <c r="A16" s="1" t="n">
        <v>15</v>
      </c>
      <c r="B16" s="7" t="str">
        <f aca="false">HYPERLINK("https://mncourtfraud.com/file/LPK-14.zip","LPK-14.zip")</f>
        <v>LPK-14.zip</v>
      </c>
      <c r="C16" s="8" t="str">
        <f aca="false">HYPERLINK("https://mncourtfraud.com/file/27-CR-21-8230.pdf","27-CR-21-8230")</f>
        <v>27-CR-21-8230</v>
      </c>
      <c r="D16" s="3" t="s">
        <v>15</v>
      </c>
      <c r="E16" s="8" t="str">
        <f aca="false">HYPERLINK("https://mncourtfraud.com/file/MCRO_27-CR-21-8230_Notice of Case Reassignment_2022-04-01_20240430081647.pdf","MCRO_27-CR-21-8230_Notice of Case Reassignment_2022-04-01_20240430081647.pdf")</f>
        <v>MCRO_27-CR-21-8230_Notice of Case Reassignment_2022-04-01_20240430081647.pdf</v>
      </c>
      <c r="F16" s="1" t="s">
        <v>1045</v>
      </c>
      <c r="G16" s="9" t="n">
        <v>44652</v>
      </c>
      <c r="H16" s="1" t="n">
        <v>6</v>
      </c>
    </row>
    <row r="17" customFormat="false" ht="18.7" hidden="false" customHeight="true" outlineLevel="0" collapsed="false">
      <c r="A17" s="1" t="n">
        <v>16</v>
      </c>
      <c r="B17" s="7" t="str">
        <f aca="false">HYPERLINK("https://mncourtfraud.com/file/LPK-14.zip","LPK-14.zip")</f>
        <v>LPK-14.zip</v>
      </c>
      <c r="C17" s="8" t="str">
        <f aca="false">HYPERLINK("https://mncourtfraud.com/file/27-CR-21-8511.pdf","27-CR-21-8511")</f>
        <v>27-CR-21-8511</v>
      </c>
      <c r="D17" s="3" t="s">
        <v>15</v>
      </c>
      <c r="E17" s="8" t="str">
        <f aca="false">HYPERLINK("https://mncourtfraud.com/file/MCRO_27-CR-21-8511_Notice of Case Reassignment_2022-04-01_20240430082021.pdf","MCRO_27-CR-21-8511_Notice of Case Reassignment_2022-04-01_20240430082021.pdf")</f>
        <v>MCRO_27-CR-21-8511_Notice of Case Reassignment_2022-04-01_20240430082021.pdf</v>
      </c>
      <c r="F17" s="1" t="s">
        <v>1046</v>
      </c>
      <c r="G17" s="9" t="n">
        <v>44652</v>
      </c>
      <c r="H17" s="1" t="n">
        <v>6</v>
      </c>
    </row>
    <row r="18" customFormat="false" ht="18.7" hidden="false" customHeight="true" outlineLevel="0" collapsed="false">
      <c r="A18" s="1" t="n">
        <v>17</v>
      </c>
      <c r="B18" s="7" t="str">
        <f aca="false">HYPERLINK("https://mncourtfraud.com/file/LPK-14.zip","LPK-14.zip")</f>
        <v>LPK-14.zip</v>
      </c>
      <c r="C18" s="8" t="str">
        <f aca="false">HYPERLINK("https://mncourtfraud.com/file/27-CR-22-17300.pdf","27-CR-22-17300")</f>
        <v>27-CR-22-17300</v>
      </c>
      <c r="D18" s="3" t="s">
        <v>15</v>
      </c>
      <c r="E18" s="8" t="str">
        <f aca="false">HYPERLINK("https://mncourtfraud.com/file/MCRO_27-CR-22-17300_Returned Mail_2022-09-20_20240429162008.pdf","MCRO_27-CR-22-17300_Returned Mail_2022-09-20_20240429162008.pdf")</f>
        <v>MCRO_27-CR-22-17300_Returned Mail_2022-09-20_20240429162008.pdf</v>
      </c>
      <c r="F18" s="1" t="s">
        <v>1047</v>
      </c>
      <c r="G18" s="9" t="n">
        <v>44824</v>
      </c>
      <c r="H18" s="1" t="n">
        <v>6</v>
      </c>
    </row>
    <row r="19" customFormat="false" ht="18.7" hidden="false" customHeight="true" outlineLevel="0" collapsed="false">
      <c r="A19" s="1" t="n">
        <v>18</v>
      </c>
      <c r="B19" s="7" t="str">
        <f aca="false">HYPERLINK("https://mncourtfraud.com/file/LPK-14.zip","LPK-14.zip")</f>
        <v>LPK-14.zip</v>
      </c>
      <c r="C19" s="8" t="str">
        <f aca="false">HYPERLINK("https://mncourtfraud.com/file/27-CR-21-8227.pdf","27-CR-21-8227")</f>
        <v>27-CR-21-8227</v>
      </c>
      <c r="D19" s="3" t="s">
        <v>15</v>
      </c>
      <c r="E19" s="8" t="str">
        <f aca="false">HYPERLINK("https://mncourtfraud.com/file/MCRO_27-CR-21-8227_Notice of Case Reassignment_2022-04-01_20240430080739.pdf","MCRO_27-CR-21-8227_Notice of Case Reassignment_2022-04-01_20240430080739.pdf")</f>
        <v>MCRO_27-CR-21-8227_Notice of Case Reassignment_2022-04-01_20240430080739.pdf</v>
      </c>
      <c r="F19" s="1" t="s">
        <v>1048</v>
      </c>
      <c r="G19" s="9" t="n">
        <v>44652</v>
      </c>
      <c r="H19" s="1" t="n">
        <v>5</v>
      </c>
    </row>
    <row r="20" customFormat="false" ht="18.7" hidden="false" customHeight="true" outlineLevel="0" collapsed="false">
      <c r="A20" s="1" t="n">
        <v>19</v>
      </c>
      <c r="B20" s="7" t="str">
        <f aca="false">HYPERLINK("https://mncourtfraud.com/file/LPK-14.zip","LPK-14.zip")</f>
        <v>LPK-14.zip</v>
      </c>
      <c r="C20" s="8" t="str">
        <f aca="false">HYPERLINK("https://mncourtfraud.com/file/27-CR-21-6904.pdf","27-CR-21-6904")</f>
        <v>27-CR-21-6904</v>
      </c>
      <c r="D20" s="3" t="s">
        <v>15</v>
      </c>
      <c r="E20" s="8" t="str">
        <f aca="false">HYPERLINK("https://mncourtfraud.com/file/MCRO_27-CR-21-6904_Notice of Case Reassignment_2023-01-13_20240430080458.pdf","MCRO_27-CR-21-6904_Notice of Case Reassignment_2023-01-13_20240430080458.pdf")</f>
        <v>MCRO_27-CR-21-6904_Notice of Case Reassignment_2023-01-13_20240430080458.pdf</v>
      </c>
      <c r="F20" s="1" t="s">
        <v>1049</v>
      </c>
      <c r="G20" s="9" t="n">
        <v>44939</v>
      </c>
      <c r="H20" s="1" t="n">
        <v>5</v>
      </c>
    </row>
    <row r="21" customFormat="false" ht="18.7" hidden="false" customHeight="true" outlineLevel="0" collapsed="false">
      <c r="A21" s="1" t="n">
        <v>20</v>
      </c>
      <c r="B21" s="7" t="str">
        <f aca="false">HYPERLINK("https://mncourtfraud.com/file/LPK-14.zip","LPK-14.zip")</f>
        <v>LPK-14.zip</v>
      </c>
      <c r="C21" s="8" t="str">
        <f aca="false">HYPERLINK("https://mncourtfraud.com/file/27-CR-21-8067.pdf","27-CR-21-8067")</f>
        <v>27-CR-21-8067</v>
      </c>
      <c r="D21" s="3" t="s">
        <v>15</v>
      </c>
      <c r="E21" s="8" t="str">
        <f aca="false">HYPERLINK("https://mncourtfraud.com/file/MCRO_27-CR-21-8067_Notice of Case Reassignment_2023-01-13_20240430080642.pdf","MCRO_27-CR-21-8067_Notice of Case Reassignment_2023-01-13_20240430080642.pdf")</f>
        <v>MCRO_27-CR-21-8067_Notice of Case Reassignment_2023-01-13_20240430080642.pdf</v>
      </c>
      <c r="F21" s="1" t="s">
        <v>1050</v>
      </c>
      <c r="G21" s="9" t="n">
        <v>44939</v>
      </c>
      <c r="H21" s="1" t="n">
        <v>5</v>
      </c>
    </row>
    <row r="22" customFormat="false" ht="18.7" hidden="false" customHeight="true" outlineLevel="0" collapsed="false">
      <c r="A22" s="1" t="n">
        <v>21</v>
      </c>
      <c r="B22" s="7" t="str">
        <f aca="false">HYPERLINK("https://mncourtfraud.com/file/LPK-14.zip","LPK-14.zip")</f>
        <v>LPK-14.zip</v>
      </c>
      <c r="C22" s="8" t="str">
        <f aca="false">HYPERLINK("https://mncourtfraud.com/file/27-CR-21-8227.pdf","27-CR-21-8227")</f>
        <v>27-CR-21-8227</v>
      </c>
      <c r="D22" s="3" t="s">
        <v>15</v>
      </c>
      <c r="E22" s="8" t="str">
        <f aca="false">HYPERLINK("https://mncourtfraud.com/file/MCRO_27-CR-21-8227_Notice of Case Reassignment_2023-01-13_20240430080736.pdf","MCRO_27-CR-21-8227_Notice of Case Reassignment_2023-01-13_20240430080736.pdf")</f>
        <v>MCRO_27-CR-21-8227_Notice of Case Reassignment_2023-01-13_20240430080736.pdf</v>
      </c>
      <c r="F22" s="1" t="s">
        <v>1051</v>
      </c>
      <c r="G22" s="9" t="n">
        <v>44939</v>
      </c>
      <c r="H22" s="1" t="n">
        <v>5</v>
      </c>
    </row>
    <row r="23" customFormat="false" ht="18.7" hidden="false" customHeight="true" outlineLevel="0" collapsed="false">
      <c r="A23" s="1" t="n">
        <v>22</v>
      </c>
      <c r="B23" s="7" t="str">
        <f aca="false">HYPERLINK("https://mncourtfraud.com/file/LPK-14.zip","LPK-14.zip")</f>
        <v>LPK-14.zip</v>
      </c>
      <c r="C23" s="8" t="str">
        <f aca="false">HYPERLINK("https://mncourtfraud.com/file/27-CR-21-8228.pdf","27-CR-21-8228")</f>
        <v>27-CR-21-8228</v>
      </c>
      <c r="D23" s="3" t="s">
        <v>15</v>
      </c>
      <c r="E23" s="8" t="str">
        <f aca="false">HYPERLINK("https://mncourtfraud.com/file/MCRO_27-CR-21-8228_Notice of Case Reassignment_2023-01-13_20240430080829.pdf","MCRO_27-CR-21-8228_Notice of Case Reassignment_2023-01-13_20240430080829.pdf")</f>
        <v>MCRO_27-CR-21-8228_Notice of Case Reassignment_2023-01-13_20240430080829.pdf</v>
      </c>
      <c r="F23" s="1" t="s">
        <v>1052</v>
      </c>
      <c r="G23" s="9" t="n">
        <v>44939</v>
      </c>
      <c r="H23" s="1" t="n">
        <v>5</v>
      </c>
    </row>
    <row r="24" customFormat="false" ht="18.7" hidden="false" customHeight="true" outlineLevel="0" collapsed="false">
      <c r="A24" s="1" t="n">
        <v>23</v>
      </c>
      <c r="B24" s="7" t="str">
        <f aca="false">HYPERLINK("https://mncourtfraud.com/file/LPK-14.zip","LPK-14.zip")</f>
        <v>LPK-14.zip</v>
      </c>
      <c r="C24" s="8" t="str">
        <f aca="false">HYPERLINK("https://mncourtfraud.com/file/27-CR-21-8229.pdf","27-CR-21-8229")</f>
        <v>27-CR-21-8229</v>
      </c>
      <c r="D24" s="3" t="s">
        <v>15</v>
      </c>
      <c r="E24" s="8" t="str">
        <f aca="false">HYPERLINK("https://mncourtfraud.com/file/MCRO_27-CR-21-8229_Notice of Case Reassignment_2023-01-13_20240430081526.pdf","MCRO_27-CR-21-8229_Notice of Case Reassignment_2023-01-13_20240430081526.pdf")</f>
        <v>MCRO_27-CR-21-8229_Notice of Case Reassignment_2023-01-13_20240430081526.pdf</v>
      </c>
      <c r="F24" s="1" t="s">
        <v>1053</v>
      </c>
      <c r="G24" s="9" t="n">
        <v>44939</v>
      </c>
      <c r="H24" s="1" t="n">
        <v>5</v>
      </c>
    </row>
    <row r="25" customFormat="false" ht="18.7" hidden="false" customHeight="true" outlineLevel="0" collapsed="false">
      <c r="A25" s="1" t="n">
        <v>24</v>
      </c>
      <c r="B25" s="7" t="str">
        <f aca="false">HYPERLINK("https://mncourtfraud.com/file/LPK-14.zip","LPK-14.zip")</f>
        <v>LPK-14.zip</v>
      </c>
      <c r="C25" s="8" t="str">
        <f aca="false">HYPERLINK("https://mncourtfraud.com/file/27-CR-21-8230.pdf","27-CR-21-8230")</f>
        <v>27-CR-21-8230</v>
      </c>
      <c r="D25" s="3" t="s">
        <v>15</v>
      </c>
      <c r="E25" s="8" t="str">
        <f aca="false">HYPERLINK("https://mncourtfraud.com/file/MCRO_27-CR-21-8230_Notice of Case Reassignment_2023-01-13_20240430081644.pdf","MCRO_27-CR-21-8230_Notice of Case Reassignment_2023-01-13_20240430081644.pdf")</f>
        <v>MCRO_27-CR-21-8230_Notice of Case Reassignment_2023-01-13_20240430081644.pdf</v>
      </c>
      <c r="F25" s="1" t="s">
        <v>1054</v>
      </c>
      <c r="G25" s="9" t="n">
        <v>44939</v>
      </c>
      <c r="H25" s="1" t="n">
        <v>5</v>
      </c>
    </row>
    <row r="26" customFormat="false" ht="18.7" hidden="false" customHeight="true" outlineLevel="0" collapsed="false">
      <c r="A26" s="1" t="n">
        <v>25</v>
      </c>
      <c r="B26" s="7" t="str">
        <f aca="false">HYPERLINK("https://mncourtfraud.com/file/LPK-14.zip","LPK-14.zip")</f>
        <v>LPK-14.zip</v>
      </c>
      <c r="C26" s="8" t="str">
        <f aca="false">HYPERLINK("https://mncourtfraud.com/file/27-CR-21-8511.pdf","27-CR-21-8511")</f>
        <v>27-CR-21-8511</v>
      </c>
      <c r="D26" s="3" t="s">
        <v>15</v>
      </c>
      <c r="E26" s="8" t="str">
        <f aca="false">HYPERLINK("https://mncourtfraud.com/file/MCRO_27-CR-21-8511_Notice of Case Reassignment_2023-01-13_20240430082017.pdf","MCRO_27-CR-21-8511_Notice of Case Reassignment_2023-01-13_20240430082017.pdf")</f>
        <v>MCRO_27-CR-21-8511_Notice of Case Reassignment_2023-01-13_20240430082017.pdf</v>
      </c>
      <c r="F26" s="1" t="s">
        <v>1055</v>
      </c>
      <c r="G26" s="9" t="n">
        <v>44939</v>
      </c>
      <c r="H26" s="1" t="n">
        <v>5</v>
      </c>
    </row>
    <row r="27" customFormat="false" ht="18.7" hidden="false" customHeight="true" outlineLevel="0" collapsed="false">
      <c r="A27" s="1" t="n">
        <v>26</v>
      </c>
      <c r="B27" s="7" t="str">
        <f aca="false">HYPERLINK("https://mncourtfraud.com/file/LPK-14.zip","LPK-14.zip")</f>
        <v>LPK-14.zip</v>
      </c>
      <c r="C27" s="8" t="str">
        <f aca="false">HYPERLINK("https://mncourtfraud.com/file/27-CR-21-8227.pdf","27-CR-21-8227")</f>
        <v>27-CR-21-8227</v>
      </c>
      <c r="D27" s="3" t="s">
        <v>15</v>
      </c>
      <c r="E27" s="8" t="str">
        <f aca="false">HYPERLINK("https://mncourtfraud.com/file/MCRO_27-CR-21-8227_Returned Mail_2021-05-10_20240430080748.pdf","MCRO_27-CR-21-8227_Returned Mail_2021-05-10_20240430080748.pdf")</f>
        <v>MCRO_27-CR-21-8227_Returned Mail_2021-05-10_20240430080748.pdf</v>
      </c>
      <c r="F27" s="1" t="s">
        <v>1056</v>
      </c>
      <c r="G27" s="9" t="n">
        <v>44326</v>
      </c>
      <c r="H27" s="1" t="n">
        <v>2</v>
      </c>
    </row>
    <row r="28" customFormat="false" ht="18.7" hidden="false" customHeight="true" outlineLevel="0" collapsed="false">
      <c r="A28" s="1" t="n">
        <v>27</v>
      </c>
      <c r="B28" s="7" t="str">
        <f aca="false">HYPERLINK("https://mncourtfraud.com/file/LPK-14.zip","LPK-14.zip")</f>
        <v>LPK-14.zip</v>
      </c>
      <c r="C28" s="8" t="str">
        <f aca="false">HYPERLINK("https://mncourtfraud.com/file/27-CR-22-17300.pdf","27-CR-22-17300")</f>
        <v>27-CR-22-17300</v>
      </c>
      <c r="D28" s="3" t="s">
        <v>15</v>
      </c>
      <c r="E28" s="8" t="str">
        <f aca="false">HYPERLINK("https://mncourtfraud.com/file/MCRO_27-CR-22-17300_Notice of Hearing_2022-10-03_20240429162007.pdf","MCRO_27-CR-22-17300_Notice of Hearing_2022-10-03_20240429162007.pdf")</f>
        <v>MCRO_27-CR-22-17300_Notice of Hearing_2022-10-03_20240429162007.pdf</v>
      </c>
      <c r="F28" s="1" t="s">
        <v>1057</v>
      </c>
      <c r="G28" s="9" t="n">
        <v>44837</v>
      </c>
      <c r="H28" s="1" t="n">
        <v>2</v>
      </c>
    </row>
    <row r="29" customFormat="false" ht="18.7" hidden="false" customHeight="true" outlineLevel="0" collapsed="false">
      <c r="A29" s="1" t="n">
        <v>28</v>
      </c>
      <c r="B29" s="7" t="str">
        <f aca="false">HYPERLINK("https://mncourtfraud.com/file/LPK-14.zip","LPK-14.zip")</f>
        <v>LPK-14.zip</v>
      </c>
      <c r="C29" s="8" t="str">
        <f aca="false">HYPERLINK("https://mncourtfraud.com/file/27-CR-22-21679.pdf","27-CR-22-21679")</f>
        <v>27-CR-22-21679</v>
      </c>
      <c r="D29" s="3" t="s">
        <v>15</v>
      </c>
      <c r="E29" s="8" t="str">
        <f aca="false">HYPERLINK("https://mncourtfraud.com/file/MCRO_27-CR-22-21679_Returned Mail_2022-12-20_20240429162901.pdf","MCRO_27-CR-22-21679_Returned Mail_2022-12-20_20240429162901.pdf")</f>
        <v>MCRO_27-CR-22-21679_Returned Mail_2022-12-20_20240429162901.pdf</v>
      </c>
      <c r="F29" s="1" t="s">
        <v>1058</v>
      </c>
      <c r="G29" s="9" t="n">
        <v>44915</v>
      </c>
      <c r="H29" s="1" t="n">
        <v>2</v>
      </c>
    </row>
    <row r="30" customFormat="false" ht="18.7" hidden="false" customHeight="true" outlineLevel="0" collapsed="false">
      <c r="A30" s="1" t="n">
        <v>29</v>
      </c>
      <c r="B30" s="7" t="str">
        <f aca="false">HYPERLINK("https://mncourtfraud.com/file/LPK-14.zip","LPK-14.zip")</f>
        <v>LPK-14.zip</v>
      </c>
      <c r="C30" s="8" t="str">
        <f aca="false">HYPERLINK("https://mncourtfraud.com/file/27-CR-21-6904.pdf","27-CR-21-6904")</f>
        <v>27-CR-21-6904</v>
      </c>
      <c r="D30" s="3" t="s">
        <v>15</v>
      </c>
      <c r="E30" s="8" t="str">
        <f aca="false">HYPERLINK("https://mncourtfraud.com/file/MCRO_27-CR-21-6904_Notice of Remote Hearing with Instructions_2021-07-28_20240430080508.pdf","MCRO_27-CR-21-6904_Notice of Remote Hearing with Instructions_2021-07-28_20240430080508.pdf")</f>
        <v>MCRO_27-CR-21-6904_Notice of Remote Hearing with Instructions_2021-07-28_20240430080508.pdf</v>
      </c>
      <c r="F30" s="1" t="s">
        <v>1059</v>
      </c>
      <c r="G30" s="9" t="n">
        <v>44405</v>
      </c>
      <c r="H30" s="1" t="n">
        <v>1</v>
      </c>
    </row>
    <row r="31" customFormat="false" ht="18.7" hidden="false" customHeight="true" outlineLevel="0" collapsed="false">
      <c r="A31" s="1" t="n">
        <v>30</v>
      </c>
      <c r="B31" s="7" t="str">
        <f aca="false">HYPERLINK("https://mncourtfraud.com/file/LPK-14.zip","LPK-14.zip")</f>
        <v>LPK-14.zip</v>
      </c>
      <c r="C31" s="8" t="str">
        <f aca="false">HYPERLINK("https://mncourtfraud.com/file/27-CR-21-8067.pdf","27-CR-21-8067")</f>
        <v>27-CR-21-8067</v>
      </c>
      <c r="D31" s="3" t="s">
        <v>15</v>
      </c>
      <c r="E31" s="8" t="str">
        <f aca="false">HYPERLINK("https://mncourtfraud.com/file/MCRO_27-CR-21-8067_Notice of Remote Hearing with Instructions_2021-07-28_20240430080653.pdf","MCRO_27-CR-21-8067_Notice of Remote Hearing with Instructions_2021-07-28_20240430080653.pdf")</f>
        <v>MCRO_27-CR-21-8067_Notice of Remote Hearing with Instructions_2021-07-28_20240430080653.pdf</v>
      </c>
      <c r="F31" s="1" t="s">
        <v>1060</v>
      </c>
      <c r="G31" s="9" t="n">
        <v>44405</v>
      </c>
      <c r="H31" s="1" t="n">
        <v>1</v>
      </c>
    </row>
    <row r="32" customFormat="false" ht="18.7" hidden="false" customHeight="true" outlineLevel="0" collapsed="false">
      <c r="A32" s="1" t="n">
        <v>31</v>
      </c>
      <c r="B32" s="7" t="str">
        <f aca="false">HYPERLINK("https://mncourtfraud.com/file/LPK-14.zip","LPK-14.zip")</f>
        <v>LPK-14.zip</v>
      </c>
      <c r="C32" s="8" t="str">
        <f aca="false">HYPERLINK("https://mncourtfraud.com/file/27-CR-21-8067.pdf","27-CR-21-8067")</f>
        <v>27-CR-21-8067</v>
      </c>
      <c r="D32" s="3" t="s">
        <v>15</v>
      </c>
      <c r="E32" s="8" t="str">
        <f aca="false">HYPERLINK("https://mncourtfraud.com/file/MCRO_27-CR-21-8067_Order for Conditional Release_2021-07-28_20240430080654.pdf","MCRO_27-CR-21-8067_Order for Conditional Release_2021-07-28_20240430080654.pdf")</f>
        <v>MCRO_27-CR-21-8067_Order for Conditional Release_2021-07-28_20240430080654.pdf</v>
      </c>
      <c r="F32" s="1" t="s">
        <v>1061</v>
      </c>
      <c r="G32" s="9" t="n">
        <v>44405</v>
      </c>
      <c r="H32" s="1" t="n">
        <v>1</v>
      </c>
    </row>
    <row r="33" customFormat="false" ht="18.7" hidden="false" customHeight="true" outlineLevel="0" collapsed="false">
      <c r="A33" s="1" t="n">
        <v>32</v>
      </c>
      <c r="B33" s="7" t="str">
        <f aca="false">HYPERLINK("https://mncourtfraud.com/file/LPK-14.zip","LPK-14.zip")</f>
        <v>LPK-14.zip</v>
      </c>
      <c r="C33" s="8" t="str">
        <f aca="false">HYPERLINK("https://mncourtfraud.com/file/27-CR-21-8227.pdf","27-CR-21-8227")</f>
        <v>27-CR-21-8227</v>
      </c>
      <c r="D33" s="3" t="s">
        <v>15</v>
      </c>
      <c r="E33" s="8" t="str">
        <f aca="false">HYPERLINK("https://mncourtfraud.com/file/MCRO_27-CR-21-8227_Notice of Remote Hearing with Instructions_2021-07-28_20240430080745.pdf","MCRO_27-CR-21-8227_Notice of Remote Hearing with Instructions_2021-07-28_20240430080745.pdf")</f>
        <v>MCRO_27-CR-21-8227_Notice of Remote Hearing with Instructions_2021-07-28_20240430080745.pdf</v>
      </c>
      <c r="F33" s="1" t="s">
        <v>1062</v>
      </c>
      <c r="G33" s="9" t="n">
        <v>44405</v>
      </c>
      <c r="H33" s="1" t="n">
        <v>1</v>
      </c>
    </row>
    <row r="34" customFormat="false" ht="18.7" hidden="false" customHeight="true" outlineLevel="0" collapsed="false">
      <c r="A34" s="1" t="n">
        <v>33</v>
      </c>
      <c r="B34" s="7" t="str">
        <f aca="false">HYPERLINK("https://mncourtfraud.com/file/LPK-14.zip","LPK-14.zip")</f>
        <v>LPK-14.zip</v>
      </c>
      <c r="C34" s="8" t="str">
        <f aca="false">HYPERLINK("https://mncourtfraud.com/file/27-CR-21-8227.pdf","27-CR-21-8227")</f>
        <v>27-CR-21-8227</v>
      </c>
      <c r="D34" s="3" t="s">
        <v>15</v>
      </c>
      <c r="E34" s="8" t="str">
        <f aca="false">HYPERLINK("https://mncourtfraud.com/file/MCRO_27-CR-21-8227_Order for Conditional Release_2021-07-28_20240430080747.pdf","MCRO_27-CR-21-8227_Order for Conditional Release_2021-07-28_20240430080747.pdf")</f>
        <v>MCRO_27-CR-21-8227_Order for Conditional Release_2021-07-28_20240430080747.pdf</v>
      </c>
      <c r="F34" s="1" t="s">
        <v>1063</v>
      </c>
      <c r="G34" s="9" t="n">
        <v>44405</v>
      </c>
      <c r="H34" s="1" t="n">
        <v>1</v>
      </c>
    </row>
    <row r="35" customFormat="false" ht="18.7" hidden="false" customHeight="true" outlineLevel="0" collapsed="false">
      <c r="A35" s="1" t="n">
        <v>34</v>
      </c>
      <c r="B35" s="7" t="str">
        <f aca="false">HYPERLINK("https://mncourtfraud.com/file/LPK-14.zip","LPK-14.zip")</f>
        <v>LPK-14.zip</v>
      </c>
      <c r="C35" s="8" t="str">
        <f aca="false">HYPERLINK("https://mncourtfraud.com/file/27-CR-21-8228.pdf","27-CR-21-8228")</f>
        <v>27-CR-21-8228</v>
      </c>
      <c r="D35" s="3" t="s">
        <v>15</v>
      </c>
      <c r="E35" s="8" t="str">
        <f aca="false">HYPERLINK("https://mncourtfraud.com/file/MCRO_27-CR-21-8228_Notice of Remote Hearing with Instructions_2021-07-28_20240430080838.pdf","MCRO_27-CR-21-8228_Notice of Remote Hearing with Instructions_2021-07-28_20240430080838.pdf")</f>
        <v>MCRO_27-CR-21-8228_Notice of Remote Hearing with Instructions_2021-07-28_20240430080838.pdf</v>
      </c>
      <c r="F35" s="1" t="s">
        <v>1064</v>
      </c>
      <c r="G35" s="9" t="n">
        <v>44405</v>
      </c>
      <c r="H35" s="1" t="n">
        <v>1</v>
      </c>
    </row>
    <row r="36" customFormat="false" ht="18.7" hidden="false" customHeight="true" outlineLevel="0" collapsed="false">
      <c r="A36" s="1" t="n">
        <v>35</v>
      </c>
      <c r="B36" s="7" t="str">
        <f aca="false">HYPERLINK("https://mncourtfraud.com/file/LPK-14.zip","LPK-14.zip")</f>
        <v>LPK-14.zip</v>
      </c>
      <c r="C36" s="8" t="str">
        <f aca="false">HYPERLINK("https://mncourtfraud.com/file/27-CR-21-8228.pdf","27-CR-21-8228")</f>
        <v>27-CR-21-8228</v>
      </c>
      <c r="D36" s="3" t="s">
        <v>15</v>
      </c>
      <c r="E36" s="8" t="str">
        <f aca="false">HYPERLINK("https://mncourtfraud.com/file/MCRO_27-CR-21-8228_Order for Conditional Release_2021-07-28_20240430080839.pdf","MCRO_27-CR-21-8228_Order for Conditional Release_2021-07-28_20240430080839.pdf")</f>
        <v>MCRO_27-CR-21-8228_Order for Conditional Release_2021-07-28_20240430080839.pdf</v>
      </c>
      <c r="F36" s="1" t="s">
        <v>1065</v>
      </c>
      <c r="G36" s="9" t="n">
        <v>44405</v>
      </c>
      <c r="H36" s="1" t="n">
        <v>1</v>
      </c>
    </row>
    <row r="37" customFormat="false" ht="18.7" hidden="false" customHeight="true" outlineLevel="0" collapsed="false">
      <c r="A37" s="1" t="n">
        <v>36</v>
      </c>
      <c r="B37" s="7" t="str">
        <f aca="false">HYPERLINK("https://mncourtfraud.com/file/LPK-14.zip","LPK-14.zip")</f>
        <v>LPK-14.zip</v>
      </c>
      <c r="C37" s="8" t="str">
        <f aca="false">HYPERLINK("https://mncourtfraud.com/file/27-CR-21-8229.pdf","27-CR-21-8229")</f>
        <v>27-CR-21-8229</v>
      </c>
      <c r="D37" s="3" t="s">
        <v>15</v>
      </c>
      <c r="E37" s="8" t="str">
        <f aca="false">HYPERLINK("https://mncourtfraud.com/file/MCRO_27-CR-21-8229_Notice of Remote Hearing with Instructions_2021-07-28_20240430081536.pdf","MCRO_27-CR-21-8229_Notice of Remote Hearing with Instructions_2021-07-28_20240430081536.pdf")</f>
        <v>MCRO_27-CR-21-8229_Notice of Remote Hearing with Instructions_2021-07-28_20240430081536.pdf</v>
      </c>
      <c r="F37" s="1" t="s">
        <v>1066</v>
      </c>
      <c r="G37" s="9" t="n">
        <v>44405</v>
      </c>
      <c r="H37" s="1" t="n">
        <v>1</v>
      </c>
    </row>
    <row r="38" customFormat="false" ht="18.7" hidden="false" customHeight="true" outlineLevel="0" collapsed="false">
      <c r="A38" s="1" t="n">
        <v>37</v>
      </c>
      <c r="B38" s="7" t="str">
        <f aca="false">HYPERLINK("https://mncourtfraud.com/file/LPK-14.zip","LPK-14.zip")</f>
        <v>LPK-14.zip</v>
      </c>
      <c r="C38" s="8" t="str">
        <f aca="false">HYPERLINK("https://mncourtfraud.com/file/27-CR-21-8229.pdf","27-CR-21-8229")</f>
        <v>27-CR-21-8229</v>
      </c>
      <c r="D38" s="3" t="s">
        <v>15</v>
      </c>
      <c r="E38" s="8" t="str">
        <f aca="false">HYPERLINK("https://mncourtfraud.com/file/MCRO_27-CR-21-8229_Order for Conditional Release_2021-07-28_20240430081537.pdf","MCRO_27-CR-21-8229_Order for Conditional Release_2021-07-28_20240430081537.pdf")</f>
        <v>MCRO_27-CR-21-8229_Order for Conditional Release_2021-07-28_20240430081537.pdf</v>
      </c>
      <c r="F38" s="1" t="s">
        <v>1067</v>
      </c>
      <c r="G38" s="9" t="n">
        <v>44405</v>
      </c>
      <c r="H38" s="1" t="n">
        <v>1</v>
      </c>
    </row>
    <row r="39" customFormat="false" ht="18.7" hidden="false" customHeight="true" outlineLevel="0" collapsed="false">
      <c r="A39" s="1" t="n">
        <v>38</v>
      </c>
      <c r="B39" s="7" t="str">
        <f aca="false">HYPERLINK("https://mncourtfraud.com/file/LPK-14.zip","LPK-14.zip")</f>
        <v>LPK-14.zip</v>
      </c>
      <c r="C39" s="8" t="str">
        <f aca="false">HYPERLINK("https://mncourtfraud.com/file/27-CR-21-8230.pdf","27-CR-21-8230")</f>
        <v>27-CR-21-8230</v>
      </c>
      <c r="D39" s="3" t="s">
        <v>15</v>
      </c>
      <c r="E39" s="8" t="str">
        <f aca="false">HYPERLINK("https://mncourtfraud.com/file/MCRO_27-CR-21-8230_Order for Conditional Release_2021-07-28_20240430081654.pdf","MCRO_27-CR-21-8230_Order for Conditional Release_2021-07-28_20240430081654.pdf")</f>
        <v>MCRO_27-CR-21-8230_Order for Conditional Release_2021-07-28_20240430081654.pdf</v>
      </c>
      <c r="F39" s="1" t="s">
        <v>1068</v>
      </c>
      <c r="G39" s="9" t="n">
        <v>44405</v>
      </c>
      <c r="H39" s="1" t="n">
        <v>1</v>
      </c>
    </row>
    <row r="40" customFormat="false" ht="18.7" hidden="false" customHeight="true" outlineLevel="0" collapsed="false">
      <c r="A40" s="1" t="n">
        <v>39</v>
      </c>
      <c r="B40" s="7" t="str">
        <f aca="false">HYPERLINK("https://mncourtfraud.com/file/LPK-14.zip","LPK-14.zip")</f>
        <v>LPK-14.zip</v>
      </c>
      <c r="C40" s="8" t="str">
        <f aca="false">HYPERLINK("https://mncourtfraud.com/file/27-CR-21-6904.pdf","27-CR-21-6904")</f>
        <v>27-CR-21-6904</v>
      </c>
      <c r="D40" s="3" t="s">
        <v>15</v>
      </c>
      <c r="E40" s="8" t="str">
        <f aca="false">HYPERLINK("https://mncourtfraud.com/file/MCRO_27-CR-21-6904_Notice of Remote Hearing with Instructions_2021-12-08_20240430080505.pdf","MCRO_27-CR-21-6904_Notice of Remote Hearing with Instructions_2021-12-08_20240430080505.pdf")</f>
        <v>MCRO_27-CR-21-6904_Notice of Remote Hearing with Instructions_2021-12-08_20240430080505.pdf</v>
      </c>
      <c r="F40" s="1" t="s">
        <v>1069</v>
      </c>
      <c r="G40" s="9" t="n">
        <v>44538</v>
      </c>
      <c r="H40" s="1" t="n">
        <v>1</v>
      </c>
    </row>
    <row r="41" customFormat="false" ht="18.7" hidden="false" customHeight="true" outlineLevel="0" collapsed="false">
      <c r="A41" s="1" t="n">
        <v>40</v>
      </c>
      <c r="B41" s="7" t="str">
        <f aca="false">HYPERLINK("https://mncourtfraud.com/file/LPK-14.zip","LPK-14.zip")</f>
        <v>LPK-14.zip</v>
      </c>
      <c r="C41" s="8" t="str">
        <f aca="false">HYPERLINK("https://mncourtfraud.com/file/27-CR-21-8067.pdf","27-CR-21-8067")</f>
        <v>27-CR-21-8067</v>
      </c>
      <c r="D41" s="3" t="s">
        <v>15</v>
      </c>
      <c r="E41" s="8" t="str">
        <f aca="false">HYPERLINK("https://mncourtfraud.com/file/MCRO_27-CR-21-8067_Notice of Remote Hearing with Instructions_2021-12-08_20240430080648.pdf","MCRO_27-CR-21-8067_Notice of Remote Hearing with Instructions_2021-12-08_20240430080648.pdf")</f>
        <v>MCRO_27-CR-21-8067_Notice of Remote Hearing with Instructions_2021-12-08_20240430080648.pdf</v>
      </c>
      <c r="F41" s="1" t="s">
        <v>1070</v>
      </c>
      <c r="G41" s="9" t="n">
        <v>44538</v>
      </c>
      <c r="H41" s="1" t="n">
        <v>1</v>
      </c>
    </row>
    <row r="42" customFormat="false" ht="18.7" hidden="false" customHeight="true" outlineLevel="0" collapsed="false">
      <c r="A42" s="1" t="n">
        <v>41</v>
      </c>
      <c r="B42" s="7" t="str">
        <f aca="false">HYPERLINK("https://mncourtfraud.com/file/LPK-14.zip","LPK-14.zip")</f>
        <v>LPK-14.zip</v>
      </c>
      <c r="C42" s="8" t="str">
        <f aca="false">HYPERLINK("https://mncourtfraud.com/file/27-CR-21-8227.pdf","27-CR-21-8227")</f>
        <v>27-CR-21-8227</v>
      </c>
      <c r="D42" s="3" t="s">
        <v>15</v>
      </c>
      <c r="E42" s="8" t="str">
        <f aca="false">HYPERLINK("https://mncourtfraud.com/file/MCRO_27-CR-21-8227_Notice of Remote Hearing with Instructions_2021-12-08_20240430080741.pdf","MCRO_27-CR-21-8227_Notice of Remote Hearing with Instructions_2021-12-08_20240430080741.pdf")</f>
        <v>MCRO_27-CR-21-8227_Notice of Remote Hearing with Instructions_2021-12-08_20240430080741.pdf</v>
      </c>
      <c r="F42" s="1" t="s">
        <v>1071</v>
      </c>
      <c r="G42" s="9" t="n">
        <v>44538</v>
      </c>
      <c r="H42" s="1" t="n">
        <v>1</v>
      </c>
    </row>
    <row r="43" customFormat="false" ht="18.7" hidden="false" customHeight="true" outlineLevel="0" collapsed="false">
      <c r="A43" s="1" t="n">
        <v>42</v>
      </c>
      <c r="B43" s="7" t="str">
        <f aca="false">HYPERLINK("https://mncourtfraud.com/file/LPK-14.zip","LPK-14.zip")</f>
        <v>LPK-14.zip</v>
      </c>
      <c r="C43" s="8" t="str">
        <f aca="false">HYPERLINK("https://mncourtfraud.com/file/27-CR-21-8228.pdf","27-CR-21-8228")</f>
        <v>27-CR-21-8228</v>
      </c>
      <c r="D43" s="3" t="s">
        <v>15</v>
      </c>
      <c r="E43" s="8" t="str">
        <f aca="false">HYPERLINK("https://mncourtfraud.com/file/MCRO_27-CR-21-8228_Notice of Remote Hearing with Instructions_2021-12-08_20240430080834.pdf","MCRO_27-CR-21-8228_Notice of Remote Hearing with Instructions_2021-12-08_20240430080834.pdf")</f>
        <v>MCRO_27-CR-21-8228_Notice of Remote Hearing with Instructions_2021-12-08_20240430080834.pdf</v>
      </c>
      <c r="F43" s="1" t="s">
        <v>1072</v>
      </c>
      <c r="G43" s="9" t="n">
        <v>44538</v>
      </c>
      <c r="H43" s="1" t="n">
        <v>1</v>
      </c>
    </row>
    <row r="44" customFormat="false" ht="18.7" hidden="false" customHeight="true" outlineLevel="0" collapsed="false">
      <c r="A44" s="1" t="n">
        <v>43</v>
      </c>
      <c r="B44" s="7" t="str">
        <f aca="false">HYPERLINK("https://mncourtfraud.com/file/LPK-14.zip","LPK-14.zip")</f>
        <v>LPK-14.zip</v>
      </c>
      <c r="C44" s="8" t="str">
        <f aca="false">HYPERLINK("https://mncourtfraud.com/file/27-CR-21-8229.pdf","27-CR-21-8229")</f>
        <v>27-CR-21-8229</v>
      </c>
      <c r="D44" s="3" t="s">
        <v>15</v>
      </c>
      <c r="E44" s="8" t="str">
        <f aca="false">HYPERLINK("https://mncourtfraud.com/file/MCRO_27-CR-21-8229_Notice of Remote Hearing with Instructions_2021-12-08_20240430081532.pdf","MCRO_27-CR-21-8229_Notice of Remote Hearing with Instructions_2021-12-08_20240430081532.pdf")</f>
        <v>MCRO_27-CR-21-8229_Notice of Remote Hearing with Instructions_2021-12-08_20240430081532.pdf</v>
      </c>
      <c r="F44" s="1" t="s">
        <v>1073</v>
      </c>
      <c r="G44" s="9" t="n">
        <v>44538</v>
      </c>
      <c r="H44" s="1" t="n">
        <v>1</v>
      </c>
    </row>
    <row r="45" customFormat="false" ht="18.7" hidden="false" customHeight="true" outlineLevel="0" collapsed="false">
      <c r="A45" s="1" t="n">
        <v>44</v>
      </c>
      <c r="B45" s="7" t="str">
        <f aca="false">HYPERLINK("https://mncourtfraud.com/file/LPK-14.zip","LPK-14.zip")</f>
        <v>LPK-14.zip</v>
      </c>
      <c r="C45" s="8" t="str">
        <f aca="false">HYPERLINK("https://mncourtfraud.com/file/27-CR-21-8230.pdf","27-CR-21-8230")</f>
        <v>27-CR-21-8230</v>
      </c>
      <c r="D45" s="3" t="s">
        <v>15</v>
      </c>
      <c r="E45" s="8" t="str">
        <f aca="false">HYPERLINK("https://mncourtfraud.com/file/MCRO_27-CR-21-8230_Notice of Remote Hearing with Instructions_2021-12-08_20240430081649.pdf","MCRO_27-CR-21-8230_Notice of Remote Hearing with Instructions_2021-12-08_20240430081649.pdf")</f>
        <v>MCRO_27-CR-21-8230_Notice of Remote Hearing with Instructions_2021-12-08_20240430081649.pdf</v>
      </c>
      <c r="F45" s="1" t="s">
        <v>1074</v>
      </c>
      <c r="G45" s="9" t="n">
        <v>44538</v>
      </c>
      <c r="H45" s="1" t="n">
        <v>1</v>
      </c>
    </row>
    <row r="46" customFormat="false" ht="18.7" hidden="false" customHeight="true" outlineLevel="0" collapsed="false">
      <c r="A46" s="1" t="n">
        <v>45</v>
      </c>
      <c r="B46" s="7" t="str">
        <f aca="false">HYPERLINK("https://mncourtfraud.com/file/LPK-14.zip","LPK-14.zip")</f>
        <v>LPK-14.zip</v>
      </c>
      <c r="C46" s="8" t="str">
        <f aca="false">HYPERLINK("https://mncourtfraud.com/file/27-CR-21-8511.pdf","27-CR-21-8511")</f>
        <v>27-CR-21-8511</v>
      </c>
      <c r="D46" s="3" t="s">
        <v>15</v>
      </c>
      <c r="E46" s="8" t="str">
        <f aca="false">HYPERLINK("https://mncourtfraud.com/file/MCRO_27-CR-21-8511_Notice of Remote Hearing with Instructions_2021-12-08_20240430082023.pdf","MCRO_27-CR-21-8511_Notice of Remote Hearing with Instructions_2021-12-08_20240430082023.pdf")</f>
        <v>MCRO_27-CR-21-8511_Notice of Remote Hearing with Instructions_2021-12-08_20240430082023.pdf</v>
      </c>
      <c r="F46" s="1" t="s">
        <v>1075</v>
      </c>
      <c r="G46" s="9" t="n">
        <v>44538</v>
      </c>
      <c r="H46" s="1" t="n">
        <v>1</v>
      </c>
    </row>
    <row r="47" customFormat="false" ht="18.7" hidden="false" customHeight="true" outlineLevel="0" collapsed="false">
      <c r="A47" s="1" t="n">
        <v>46</v>
      </c>
      <c r="B47" s="7" t="str">
        <f aca="false">HYPERLINK("https://mncourtfraud.com/file/LPK-14.zip","LPK-14.zip")</f>
        <v>LPK-14.zip</v>
      </c>
      <c r="C47" s="8" t="str">
        <f aca="false">HYPERLINK("https://mncourtfraud.com/file/27-CR-22-24045.pdf","27-CR-22-24045")</f>
        <v>27-CR-22-24045</v>
      </c>
      <c r="D47" s="3" t="s">
        <v>15</v>
      </c>
      <c r="E47" s="8" t="str">
        <f aca="false">HYPERLINK("https://mncourtfraud.com/file/MCRO_27-CR-22-24045_Returned Mail_2022-12-27_20240429164222.pdf","MCRO_27-CR-22-24045_Returned Mail_2022-12-27_20240429164222.pdf")</f>
        <v>MCRO_27-CR-22-24045_Returned Mail_2022-12-27_20240429164222.pdf</v>
      </c>
      <c r="F47" s="1" t="s">
        <v>1076</v>
      </c>
      <c r="G47" s="9" t="n">
        <v>44922</v>
      </c>
      <c r="H47" s="1" t="n">
        <v>1</v>
      </c>
    </row>
    <row r="48" customFormat="false" ht="18.7" hidden="false" customHeight="true" outlineLevel="0" collapsed="false">
      <c r="A48" s="1" t="n">
        <v>47</v>
      </c>
      <c r="B48" s="7" t="str">
        <f aca="false">HYPERLINK("https://mncourtfraud.com/file/LPK-14.zip","LPK-14.zip")</f>
        <v>LPK-14.zip</v>
      </c>
      <c r="C48" s="8" t="str">
        <f aca="false">HYPERLINK("https://mncourtfraud.com/file/27-CR-21-6904.pdf","27-CR-21-6904")</f>
        <v>27-CR-21-6904</v>
      </c>
      <c r="D48" s="3" t="s">
        <v>15</v>
      </c>
      <c r="E48" s="8" t="str">
        <f aca="false">HYPERLINK("https://mncourtfraud.com/file/MCRO_27-CR-21-6904_Order-Evaluation for Competency to Proceed (Rule 20.01)_2023-02-21_20240430080457.pdf","MCRO_27-CR-21-6904_Order-Evaluation for Competency to Proceed (Rule 20.01)_2023-02-21_20240430080457.pdf")</f>
        <v>MCRO_27-CR-21-6904_Order-Evaluation for Competency to Proceed (Rule 20.01)_2023-02-21_20240430080457.pdf</v>
      </c>
      <c r="F48" s="1" t="s">
        <v>49</v>
      </c>
      <c r="G48" s="9" t="n">
        <v>44978</v>
      </c>
      <c r="H48" s="1" t="n">
        <v>1</v>
      </c>
    </row>
    <row r="49" customFormat="false" ht="18.7" hidden="false" customHeight="true" outlineLevel="0" collapsed="false">
      <c r="A49" s="1" t="n">
        <v>48</v>
      </c>
      <c r="B49" s="7" t="str">
        <f aca="false">HYPERLINK("https://mncourtfraud.com/file/LPK-14.zip","LPK-14.zip")</f>
        <v>LPK-14.zip</v>
      </c>
      <c r="C49" s="8" t="str">
        <f aca="false">HYPERLINK("https://mncourtfraud.com/file/27-CR-21-8067.pdf","27-CR-21-8067")</f>
        <v>27-CR-21-8067</v>
      </c>
      <c r="D49" s="3" t="s">
        <v>15</v>
      </c>
      <c r="E49" s="8" t="str">
        <f aca="false">HYPERLINK("https://mncourtfraud.com/file/MCRO_27-CR-21-8067_Order-Evaluation for Competency to Proceed (Rule 20.01)_2023-02-21_20240430080641.pdf","MCRO_27-CR-21-8067_Order-Evaluation for Competency to Proceed (Rule 20.01)_2023-02-21_20240430080641.pdf")</f>
        <v>MCRO_27-CR-21-8067_Order-Evaluation for Competency to Proceed (Rule 20.01)_2023-02-21_20240430080641.pdf</v>
      </c>
      <c r="F49" s="1" t="s">
        <v>49</v>
      </c>
      <c r="G49" s="9" t="n">
        <v>44978</v>
      </c>
      <c r="H49" s="1" t="n">
        <v>1</v>
      </c>
    </row>
    <row r="50" customFormat="false" ht="18.7" hidden="false" customHeight="true" outlineLevel="0" collapsed="false">
      <c r="A50" s="1" t="n">
        <v>49</v>
      </c>
      <c r="B50" s="7" t="str">
        <f aca="false">HYPERLINK("https://mncourtfraud.com/file/LPK-14.zip","LPK-14.zip")</f>
        <v>LPK-14.zip</v>
      </c>
      <c r="C50" s="8" t="str">
        <f aca="false">HYPERLINK("https://mncourtfraud.com/file/27-CR-21-8227.pdf","27-CR-21-8227")</f>
        <v>27-CR-21-8227</v>
      </c>
      <c r="D50" s="3" t="s">
        <v>15</v>
      </c>
      <c r="E50" s="8" t="str">
        <f aca="false">HYPERLINK("https://mncourtfraud.com/file/MCRO_27-CR-21-8227_Order-Evaluation for Competency to Proceed (Rule 20.01)_2023-02-21_20240430080735.pdf","MCRO_27-CR-21-8227_Order-Evaluation for Competency to Proceed (Rule 20.01)_2023-02-21_20240430080735.pdf")</f>
        <v>MCRO_27-CR-21-8227_Order-Evaluation for Competency to Proceed (Rule 20.01)_2023-02-21_20240430080735.pdf</v>
      </c>
      <c r="F50" s="1" t="s">
        <v>49</v>
      </c>
      <c r="G50" s="9" t="n">
        <v>44978</v>
      </c>
      <c r="H50" s="1" t="n">
        <v>1</v>
      </c>
    </row>
    <row r="51" customFormat="false" ht="18.7" hidden="false" customHeight="true" outlineLevel="0" collapsed="false">
      <c r="A51" s="1" t="n">
        <v>50</v>
      </c>
      <c r="B51" s="7" t="str">
        <f aca="false">HYPERLINK("https://mncourtfraud.com/file/LPK-14.zip","LPK-14.zip")</f>
        <v>LPK-14.zip</v>
      </c>
      <c r="C51" s="8" t="str">
        <f aca="false">HYPERLINK("https://mncourtfraud.com/file/27-CR-21-8228.pdf","27-CR-21-8228")</f>
        <v>27-CR-21-8228</v>
      </c>
      <c r="D51" s="3" t="s">
        <v>15</v>
      </c>
      <c r="E51" s="8" t="str">
        <f aca="false">HYPERLINK("https://mncourtfraud.com/file/MCRO_27-CR-21-8228_Order-Evaluation for Competency to Proceed (Rule 20.01)_2023-02-21_20240430080828.pdf","MCRO_27-CR-21-8228_Order-Evaluation for Competency to Proceed (Rule 20.01)_2023-02-21_20240430080828.pdf")</f>
        <v>MCRO_27-CR-21-8228_Order-Evaluation for Competency to Proceed (Rule 20.01)_2023-02-21_20240430080828.pdf</v>
      </c>
      <c r="F51" s="1" t="s">
        <v>49</v>
      </c>
      <c r="G51" s="9" t="n">
        <v>44978</v>
      </c>
      <c r="H51" s="1" t="n">
        <v>1</v>
      </c>
    </row>
    <row r="52" customFormat="false" ht="18.7" hidden="false" customHeight="true" outlineLevel="0" collapsed="false">
      <c r="A52" s="1" t="n">
        <v>51</v>
      </c>
      <c r="B52" s="7" t="str">
        <f aca="false">HYPERLINK("https://mncourtfraud.com/file/LPK-14.zip","LPK-14.zip")</f>
        <v>LPK-14.zip</v>
      </c>
      <c r="C52" s="8" t="str">
        <f aca="false">HYPERLINK("https://mncourtfraud.com/file/27-CR-21-8229.pdf","27-CR-21-8229")</f>
        <v>27-CR-21-8229</v>
      </c>
      <c r="D52" s="3" t="s">
        <v>15</v>
      </c>
      <c r="E52" s="8" t="str">
        <f aca="false">HYPERLINK("https://mncourtfraud.com/file/MCRO_27-CR-21-8229_Order-Evaluation for Competency to Proceed (Rule 20.01)_2023-02-21_20240430081525.pdf","MCRO_27-CR-21-8229_Order-Evaluation for Competency to Proceed (Rule 20.01)_2023-02-21_20240430081525.pdf")</f>
        <v>MCRO_27-CR-21-8229_Order-Evaluation for Competency to Proceed (Rule 20.01)_2023-02-21_20240430081525.pdf</v>
      </c>
      <c r="F52" s="1" t="s">
        <v>49</v>
      </c>
      <c r="G52" s="9" t="n">
        <v>44978</v>
      </c>
      <c r="H52" s="1" t="n">
        <v>1</v>
      </c>
    </row>
    <row r="53" customFormat="false" ht="18.7" hidden="false" customHeight="true" outlineLevel="0" collapsed="false">
      <c r="A53" s="1" t="n">
        <v>52</v>
      </c>
      <c r="B53" s="7" t="str">
        <f aca="false">HYPERLINK("https://mncourtfraud.com/file/LPK-14.zip","LPK-14.zip")</f>
        <v>LPK-14.zip</v>
      </c>
      <c r="C53" s="8" t="str">
        <f aca="false">HYPERLINK("https://mncourtfraud.com/file/27-CR-21-8230.pdf","27-CR-21-8230")</f>
        <v>27-CR-21-8230</v>
      </c>
      <c r="D53" s="3" t="s">
        <v>15</v>
      </c>
      <c r="E53" s="8" t="str">
        <f aca="false">HYPERLINK("https://mncourtfraud.com/file/MCRO_27-CR-21-8230_Order-Evaluation for Competency to Proceed (Rule 20.01)_2023-02-21_20240430081643.pdf","MCRO_27-CR-21-8230_Order-Evaluation for Competency to Proceed (Rule 20.01)_2023-02-21_20240430081643.pdf")</f>
        <v>MCRO_27-CR-21-8230_Order-Evaluation for Competency to Proceed (Rule 20.01)_2023-02-21_20240430081643.pdf</v>
      </c>
      <c r="F53" s="1" t="s">
        <v>49</v>
      </c>
      <c r="G53" s="9" t="n">
        <v>44978</v>
      </c>
      <c r="H53" s="1" t="n">
        <v>1</v>
      </c>
    </row>
    <row r="54" customFormat="false" ht="18.7" hidden="false" customHeight="true" outlineLevel="0" collapsed="false">
      <c r="A54" s="1" t="n">
        <v>53</v>
      </c>
      <c r="B54" s="7" t="str">
        <f aca="false">HYPERLINK("https://mncourtfraud.com/file/LPK-14.zip","LPK-14.zip")</f>
        <v>LPK-14.zip</v>
      </c>
      <c r="C54" s="8" t="str">
        <f aca="false">HYPERLINK("https://mncourtfraud.com/file/27-CR-21-8511.pdf","27-CR-21-8511")</f>
        <v>27-CR-21-8511</v>
      </c>
      <c r="D54" s="3" t="s">
        <v>15</v>
      </c>
      <c r="E54" s="8" t="str">
        <f aca="false">HYPERLINK("https://mncourtfraud.com/file/MCRO_27-CR-21-8511_Order-Evaluation for Competency to Proceed (Rule 20.01)_2023-02-21_20240430082016.pdf","MCRO_27-CR-21-8511_Order-Evaluation for Competency to Proceed (Rule 20.01)_2023-02-21_20240430082016.pdf")</f>
        <v>MCRO_27-CR-21-8511_Order-Evaluation for Competency to Proceed (Rule 20.01)_2023-02-21_20240430082016.pdf</v>
      </c>
      <c r="F54" s="1" t="s">
        <v>49</v>
      </c>
      <c r="G54" s="9" t="n">
        <v>44978</v>
      </c>
      <c r="H54" s="1" t="n">
        <v>1</v>
      </c>
    </row>
    <row r="55" customFormat="false" ht="18.7" hidden="false" customHeight="true" outlineLevel="0" collapsed="false">
      <c r="A55" s="1" t="n">
        <v>54</v>
      </c>
      <c r="B55" s="7" t="str">
        <f aca="false">HYPERLINK("https://mncourtfraud.com/file/LPK-14.zip","LPK-14.zip")</f>
        <v>LPK-14.zip</v>
      </c>
      <c r="C55" s="8" t="str">
        <f aca="false">HYPERLINK("https://mncourtfraud.com/file/27-CR-22-17300.pdf","27-CR-22-17300")</f>
        <v>27-CR-22-17300</v>
      </c>
      <c r="D55" s="3" t="s">
        <v>15</v>
      </c>
      <c r="E55" s="8" t="str">
        <f aca="false">HYPERLINK("https://mncourtfraud.com/file/MCRO_27-CR-22-17300_Order-Evaluation for Competency to Proceed (Rule 20.01)_2023-02-21_20240429162005.pdf","MCRO_27-CR-22-17300_Order-Evaluation for Competency to Proceed (Rule 20.01)_2023-02-21_20240429162005.pdf")</f>
        <v>MCRO_27-CR-22-17300_Order-Evaluation for Competency to Proceed (Rule 20.01)_2023-02-21_20240429162005.pdf</v>
      </c>
      <c r="F55" s="1" t="s">
        <v>49</v>
      </c>
      <c r="G55" s="9" t="n">
        <v>44978</v>
      </c>
      <c r="H55" s="1" t="n">
        <v>1</v>
      </c>
    </row>
    <row r="56" customFormat="false" ht="18.7" hidden="false" customHeight="true" outlineLevel="0" collapsed="false">
      <c r="A56" s="1" t="n">
        <v>55</v>
      </c>
      <c r="B56" s="7" t="str">
        <f aca="false">HYPERLINK("https://mncourtfraud.com/file/LPK-14.zip","LPK-14.zip")</f>
        <v>LPK-14.zip</v>
      </c>
      <c r="C56" s="8" t="str">
        <f aca="false">HYPERLINK("https://mncourtfraud.com/file/27-CR-22-21679.pdf","27-CR-22-21679")</f>
        <v>27-CR-22-21679</v>
      </c>
      <c r="D56" s="3" t="s">
        <v>15</v>
      </c>
      <c r="E56" s="8" t="str">
        <f aca="false">HYPERLINK("https://mncourtfraud.com/file/MCRO_27-CR-22-21679_Order-Evaluation for Competency to Proceed (Rule 20.01)_2023-02-21_20240429162900.pdf","MCRO_27-CR-22-21679_Order-Evaluation for Competency to Proceed (Rule 20.01)_2023-02-21_20240429162900.pdf")</f>
        <v>MCRO_27-CR-22-21679_Order-Evaluation for Competency to Proceed (Rule 20.01)_2023-02-21_20240429162900.pdf</v>
      </c>
      <c r="F56" s="1" t="s">
        <v>49</v>
      </c>
      <c r="G56" s="9" t="n">
        <v>44978</v>
      </c>
      <c r="H56" s="1" t="n">
        <v>1</v>
      </c>
    </row>
    <row r="57" customFormat="false" ht="18.7" hidden="false" customHeight="true" outlineLevel="0" collapsed="false">
      <c r="A57" s="1" t="n">
        <v>56</v>
      </c>
      <c r="B57" s="7" t="str">
        <f aca="false">HYPERLINK("https://mncourtfraud.com/file/LPK-14.zip","LPK-14.zip")</f>
        <v>LPK-14.zip</v>
      </c>
      <c r="C57" s="8" t="str">
        <f aca="false">HYPERLINK("https://mncourtfraud.com/file/27-CR-22-24045.pdf","27-CR-22-24045")</f>
        <v>27-CR-22-24045</v>
      </c>
      <c r="D57" s="3" t="s">
        <v>15</v>
      </c>
      <c r="E57" s="8" t="str">
        <f aca="false">HYPERLINK("https://mncourtfraud.com/file/MCRO_27-CR-22-24045_Order-Evaluation for Competency to Proceed (Rule 20.01)_2023-02-21_20240429164221.pdf","MCRO_27-CR-22-24045_Order-Evaluation for Competency to Proceed (Rule 20.01)_2023-02-21_20240429164221.pdf")</f>
        <v>MCRO_27-CR-22-24045_Order-Evaluation for Competency to Proceed (Rule 20.01)_2023-02-21_20240429164221.pdf</v>
      </c>
      <c r="F57" s="1" t="s">
        <v>49</v>
      </c>
      <c r="G57" s="9" t="n">
        <v>44978</v>
      </c>
      <c r="H57" s="1" t="n">
        <v>1</v>
      </c>
    </row>
    <row r="58" customFormat="false" ht="18.7" hidden="false" customHeight="true" outlineLevel="0" collapsed="false">
      <c r="A58" s="1" t="n">
        <v>57</v>
      </c>
      <c r="B58" s="7" t="str">
        <f aca="false">HYPERLINK("https://mncourtfraud.com/file/LPK-14.zip","LPK-14.zip")</f>
        <v>LPK-14.zip</v>
      </c>
      <c r="C58" s="8" t="str">
        <f aca="false">HYPERLINK("https://mncourtfraud.com/file/27-CR-23-385.pdf","27-CR-23-385")</f>
        <v>27-CR-23-385</v>
      </c>
      <c r="D58" s="3" t="s">
        <v>15</v>
      </c>
      <c r="E58" s="8" t="str">
        <f aca="false">HYPERLINK("https://mncourtfraud.com/file/MCRO_27-CR-23-385_Order-Evaluation for Competency to Proceed (Rule 20.01)_2023-02-21_20240430071838.pdf","MCRO_27-CR-23-385_Order-Evaluation for Competency to Proceed (Rule 20.01)_2023-02-21_20240430071838.pdf")</f>
        <v>MCRO_27-CR-23-385_Order-Evaluation for Competency to Proceed (Rule 20.01)_2023-02-21_20240430071838.pdf</v>
      </c>
      <c r="F58" s="1" t="s">
        <v>49</v>
      </c>
      <c r="G58" s="9" t="n">
        <v>44978</v>
      </c>
      <c r="H58" s="1" t="n">
        <v>1</v>
      </c>
    </row>
    <row r="59" customFormat="false" ht="18.7" hidden="false" customHeight="true" outlineLevel="0" collapsed="false">
      <c r="A59" s="1" t="n">
        <v>58</v>
      </c>
      <c r="G59" s="9"/>
    </row>
    <row r="60" customFormat="false" ht="18.7" hidden="false" customHeight="true" outlineLevel="0" collapsed="false">
      <c r="A60" s="1" t="n">
        <v>59</v>
      </c>
      <c r="B60" s="7" t="str">
        <f aca="false">HYPERLINK("https://mncourtfraud.com/file/GES-23.zip","GES-23.zip")</f>
        <v>GES-23.zip</v>
      </c>
      <c r="C60" s="8" t="str">
        <f aca="false">HYPERLINK("https://mncourtfraud.com/file/27-CR-21-1980.pdf","27-CR-21-1980")</f>
        <v>27-CR-21-1980</v>
      </c>
      <c r="D60" s="3" t="s">
        <v>85</v>
      </c>
      <c r="E60" s="8" t="str">
        <f aca="false">HYPERLINK("https://mncourtfraud.com/file/MCRO_27-CR-21-1980_Notice of Case Reassignment_2021-10-11_20240430080017.pdf","MCRO_27-CR-21-1980_Notice of Case Reassignment_2021-10-11_20240430080017.pdf")</f>
        <v>MCRO_27-CR-21-1980_Notice of Case Reassignment_2021-10-11_20240430080017.pdf</v>
      </c>
      <c r="F60" s="1" t="s">
        <v>1077</v>
      </c>
      <c r="G60" s="9" t="n">
        <v>44480</v>
      </c>
      <c r="H60" s="1" t="n">
        <v>16</v>
      </c>
    </row>
    <row r="61" customFormat="false" ht="18.7" hidden="false" customHeight="true" outlineLevel="0" collapsed="false">
      <c r="A61" s="1" t="n">
        <v>60</v>
      </c>
      <c r="B61" s="7" t="str">
        <f aca="false">HYPERLINK("https://mncourtfraud.com/file/GES-23.zip","GES-23.zip")</f>
        <v>GES-23.zip</v>
      </c>
      <c r="C61" s="8" t="str">
        <f aca="false">HYPERLINK("https://mncourtfraud.com/file/27-CR-22-22963.pdf","27-CR-22-22963")</f>
        <v>27-CR-22-22963</v>
      </c>
      <c r="D61" s="3" t="s">
        <v>88</v>
      </c>
      <c r="E61" s="8" t="str">
        <f aca="false">HYPERLINK("https://mncourtfraud.com/file/MCRO_27-CR-22-22963_Returned Mail_2023-01-25_20240429163945.pdf","MCRO_27-CR-22-22963_Returned Mail_2023-01-25_20240429163945.pdf")</f>
        <v>MCRO_27-CR-22-22963_Returned Mail_2023-01-25_20240429163945.pdf</v>
      </c>
      <c r="F61" s="1" t="s">
        <v>1078</v>
      </c>
      <c r="G61" s="9" t="n">
        <v>44951</v>
      </c>
      <c r="H61" s="1" t="n">
        <v>5</v>
      </c>
    </row>
    <row r="62" customFormat="false" ht="18.7" hidden="false" customHeight="true" outlineLevel="0" collapsed="false">
      <c r="A62" s="1" t="n">
        <v>61</v>
      </c>
      <c r="B62" s="7" t="str">
        <f aca="false">HYPERLINK("https://mncourtfraud.com/file/GES-23.zip","GES-23.zip")</f>
        <v>GES-23.zip</v>
      </c>
      <c r="C62" s="8" t="str">
        <f aca="false">HYPERLINK("https://mncourtfraud.com/file/27-CR-21-1980.pdf","27-CR-21-1980")</f>
        <v>27-CR-21-1980</v>
      </c>
      <c r="D62" s="3" t="s">
        <v>85</v>
      </c>
      <c r="E62" s="8" t="str">
        <f aca="false">HYPERLINK("https://mncourtfraud.com/file/MCRO_27-CR-21-1980_Notice of Case Reassignment_2023-06-16_20240430075957.pdf","MCRO_27-CR-21-1980_Notice of Case Reassignment_2023-06-16_20240430075957.pdf")</f>
        <v>MCRO_27-CR-21-1980_Notice of Case Reassignment_2023-06-16_20240430075957.pdf</v>
      </c>
      <c r="F62" s="1" t="s">
        <v>1079</v>
      </c>
      <c r="G62" s="9" t="n">
        <v>45093</v>
      </c>
      <c r="H62" s="1" t="n">
        <v>5</v>
      </c>
    </row>
    <row r="63" customFormat="false" ht="18.7" hidden="false" customHeight="true" outlineLevel="0" collapsed="false">
      <c r="A63" s="1" t="n">
        <v>62</v>
      </c>
      <c r="B63" s="7" t="str">
        <f aca="false">HYPERLINK("https://mncourtfraud.com/file/GES-23.zip","GES-23.zip")</f>
        <v>GES-23.zip</v>
      </c>
      <c r="C63" s="8" t="str">
        <f aca="false">HYPERLINK("https://mncourtfraud.com/file/27-CR-21-20072.pdf","27-CR-21-20072")</f>
        <v>27-CR-21-20072</v>
      </c>
      <c r="D63" s="3" t="s">
        <v>85</v>
      </c>
      <c r="E63" s="8" t="str">
        <f aca="false">HYPERLINK("https://mncourtfraud.com/file/MCRO_27-CR-21-20072_Notice of Case Reassignment_2023-06-16_20240430083048.pdf","MCRO_27-CR-21-20072_Notice of Case Reassignment_2023-06-16_20240430083048.pdf")</f>
        <v>MCRO_27-CR-21-20072_Notice of Case Reassignment_2023-06-16_20240430083048.pdf</v>
      </c>
      <c r="F63" s="1" t="s">
        <v>1079</v>
      </c>
      <c r="G63" s="9" t="n">
        <v>45093</v>
      </c>
      <c r="H63" s="1" t="n">
        <v>5</v>
      </c>
    </row>
    <row r="64" customFormat="false" ht="18.7" hidden="false" customHeight="true" outlineLevel="0" collapsed="false">
      <c r="A64" s="1" t="n">
        <v>63</v>
      </c>
      <c r="B64" s="7" t="str">
        <f aca="false">HYPERLINK("https://mncourtfraud.com/file/GES-23.zip","GES-23.zip")</f>
        <v>GES-23.zip</v>
      </c>
      <c r="C64" s="8" t="str">
        <f aca="false">HYPERLINK("https://mncourtfraud.com/file/27-CR-21-20988.pdf","27-CR-21-20988")</f>
        <v>27-CR-21-20988</v>
      </c>
      <c r="D64" s="3" t="s">
        <v>88</v>
      </c>
      <c r="E64" s="8" t="str">
        <f aca="false">HYPERLINK("https://mncourtfraud.com/file/MCRO_27-CR-21-20988_Notice of Case Reassignment_2023-06-16_20240430083342.pdf","MCRO_27-CR-21-20988_Notice of Case Reassignment_2023-06-16_20240430083342.pdf")</f>
        <v>MCRO_27-CR-21-20988_Notice of Case Reassignment_2023-06-16_20240430083342.pdf</v>
      </c>
      <c r="F64" s="1" t="s">
        <v>1079</v>
      </c>
      <c r="G64" s="9" t="n">
        <v>45093</v>
      </c>
      <c r="H64" s="1" t="n">
        <v>5</v>
      </c>
    </row>
    <row r="65" customFormat="false" ht="18.7" hidden="false" customHeight="true" outlineLevel="0" collapsed="false">
      <c r="A65" s="1" t="n">
        <v>64</v>
      </c>
      <c r="B65" s="7" t="str">
        <f aca="false">HYPERLINK("https://mncourtfraud.com/file/GES-23.zip","GES-23.zip")</f>
        <v>GES-23.zip</v>
      </c>
      <c r="C65" s="8" t="str">
        <f aca="false">HYPERLINK("https://mncourtfraud.com/file/27-CR-21-21355.pdf","27-CR-21-21355")</f>
        <v>27-CR-21-21355</v>
      </c>
      <c r="D65" s="3" t="s">
        <v>88</v>
      </c>
      <c r="E65" s="8" t="str">
        <f aca="false">HYPERLINK("https://mncourtfraud.com/file/MCRO_27-CR-21-21355_Notice of Case Reassignment_2023-06-16_20240430083449.pdf","MCRO_27-CR-21-21355_Notice of Case Reassignment_2023-06-16_20240430083449.pdf")</f>
        <v>MCRO_27-CR-21-21355_Notice of Case Reassignment_2023-06-16_20240430083449.pdf</v>
      </c>
      <c r="F65" s="1" t="s">
        <v>1079</v>
      </c>
      <c r="G65" s="9" t="n">
        <v>45093</v>
      </c>
      <c r="H65" s="1" t="n">
        <v>5</v>
      </c>
    </row>
    <row r="66" customFormat="false" ht="18.7" hidden="false" customHeight="true" outlineLevel="0" collapsed="false">
      <c r="A66" s="1" t="n">
        <v>65</v>
      </c>
      <c r="B66" s="7" t="str">
        <f aca="false">HYPERLINK("https://mncourtfraud.com/file/GES-23.zip","GES-23.zip")</f>
        <v>GES-23.zip</v>
      </c>
      <c r="C66" s="8" t="str">
        <f aca="false">HYPERLINK("https://mncourtfraud.com/file/27-CR-21-23188.pdf","27-CR-21-23188")</f>
        <v>27-CR-21-23188</v>
      </c>
      <c r="D66" s="3" t="s">
        <v>88</v>
      </c>
      <c r="E66" s="8" t="str">
        <f aca="false">HYPERLINK("https://mncourtfraud.com/file/MCRO_27-CR-21-23188_Notice of Case Reassignment_2023-06-16_20240430083739.pdf","MCRO_27-CR-21-23188_Notice of Case Reassignment_2023-06-16_20240430083739.pdf")</f>
        <v>MCRO_27-CR-21-23188_Notice of Case Reassignment_2023-06-16_20240430083739.pdf</v>
      </c>
      <c r="F66" s="1" t="s">
        <v>1079</v>
      </c>
      <c r="G66" s="9" t="n">
        <v>45093</v>
      </c>
      <c r="H66" s="1" t="n">
        <v>5</v>
      </c>
    </row>
    <row r="67" customFormat="false" ht="18.7" hidden="false" customHeight="true" outlineLevel="0" collapsed="false">
      <c r="A67" s="1" t="n">
        <v>66</v>
      </c>
      <c r="B67" s="7" t="str">
        <f aca="false">HYPERLINK("https://mncourtfraud.com/file/GES-23.zip","GES-23.zip")</f>
        <v>GES-23.zip</v>
      </c>
      <c r="C67" s="8" t="str">
        <f aca="false">HYPERLINK("https://mncourtfraud.com/file/27-CR-21-23215.pdf","27-CR-21-23215")</f>
        <v>27-CR-21-23215</v>
      </c>
      <c r="D67" s="3" t="s">
        <v>88</v>
      </c>
      <c r="E67" s="8" t="str">
        <f aca="false">HYPERLINK("https://mncourtfraud.com/file/MCRO_27-CR-21-23215_Notice of Case Reassignment_2023-06-16_20240430084124.pdf","MCRO_27-CR-21-23215_Notice of Case Reassignment_2023-06-16_20240430084124.pdf")</f>
        <v>MCRO_27-CR-21-23215_Notice of Case Reassignment_2023-06-16_20240430084124.pdf</v>
      </c>
      <c r="F67" s="1" t="s">
        <v>1079</v>
      </c>
      <c r="G67" s="9" t="n">
        <v>45093</v>
      </c>
      <c r="H67" s="1" t="n">
        <v>5</v>
      </c>
    </row>
    <row r="68" customFormat="false" ht="18.7" hidden="false" customHeight="true" outlineLevel="0" collapsed="false">
      <c r="A68" s="1" t="n">
        <v>67</v>
      </c>
      <c r="B68" s="7" t="str">
        <f aca="false">HYPERLINK("https://mncourtfraud.com/file/GES-23.zip","GES-23.zip")</f>
        <v>GES-23.zip</v>
      </c>
      <c r="C68" s="8" t="str">
        <f aca="false">HYPERLINK("https://mncourtfraud.com/file/27-CR-22-4087.pdf","27-CR-22-4087")</f>
        <v>27-CR-22-4087</v>
      </c>
      <c r="D68" s="3" t="s">
        <v>88</v>
      </c>
      <c r="E68" s="8" t="str">
        <f aca="false">HYPERLINK("https://mncourtfraud.com/file/MCRO_27-CR-22-4087_Notice of Case Reassignment_2023-06-16_20240429035304.pdf","MCRO_27-CR-22-4087_Notice of Case Reassignment_2023-06-16_20240429035304.pdf")</f>
        <v>MCRO_27-CR-22-4087_Notice of Case Reassignment_2023-06-16_20240429035304.pdf</v>
      </c>
      <c r="F68" s="1" t="s">
        <v>1079</v>
      </c>
      <c r="G68" s="9" t="n">
        <v>45093</v>
      </c>
      <c r="H68" s="1" t="n">
        <v>5</v>
      </c>
    </row>
    <row r="69" customFormat="false" ht="18.7" hidden="false" customHeight="true" outlineLevel="0" collapsed="false">
      <c r="A69" s="1" t="n">
        <v>68</v>
      </c>
      <c r="B69" s="7" t="str">
        <f aca="false">HYPERLINK("https://mncourtfraud.com/file/GES-23.zip","GES-23.zip")</f>
        <v>GES-23.zip</v>
      </c>
      <c r="C69" s="8" t="str">
        <f aca="false">HYPERLINK("https://mncourtfraud.com/file/27-CR-22-22963.pdf","27-CR-22-22963")</f>
        <v>27-CR-22-22963</v>
      </c>
      <c r="D69" s="3" t="s">
        <v>88</v>
      </c>
      <c r="E69" s="8" t="str">
        <f aca="false">HYPERLINK("https://mncourtfraud.com/file/MCRO_27-CR-22-22963_Returned Mail_2022-12-09_20240429163947.pdf","MCRO_27-CR-22-22963_Returned Mail_2022-12-09_20240429163947.pdf")</f>
        <v>MCRO_27-CR-22-22963_Returned Mail_2022-12-09_20240429163947.pdf</v>
      </c>
      <c r="F69" s="1" t="s">
        <v>1080</v>
      </c>
      <c r="G69" s="9" t="n">
        <v>44904</v>
      </c>
      <c r="H69" s="1" t="n">
        <v>4</v>
      </c>
    </row>
    <row r="70" customFormat="false" ht="18.7" hidden="false" customHeight="true" outlineLevel="0" collapsed="false">
      <c r="A70" s="1" t="n">
        <v>69</v>
      </c>
      <c r="B70" s="7" t="str">
        <f aca="false">HYPERLINK("https://mncourtfraud.com/file/GES-23.zip","GES-23.zip")</f>
        <v>GES-23.zip</v>
      </c>
      <c r="C70" s="8" t="str">
        <f aca="false">HYPERLINK("https://mncourtfraud.com/file/27-CR-21-1980.pdf","27-CR-21-1980")</f>
        <v>27-CR-21-1980</v>
      </c>
      <c r="D70" s="3" t="s">
        <v>85</v>
      </c>
      <c r="E70" s="8" t="str">
        <f aca="false">HYPERLINK("https://mncourtfraud.com/file/MCRO_27-CR-21-1980_Other Document_2022-05-31_20240430080006.pdf","MCRO_27-CR-21-1980_Other Document_2022-05-31_20240430080006.pdf")</f>
        <v>MCRO_27-CR-21-1980_Other Document_2022-05-31_20240430080006.pdf</v>
      </c>
      <c r="F70" s="1" t="s">
        <v>125</v>
      </c>
      <c r="G70" s="9" t="n">
        <v>44712</v>
      </c>
      <c r="H70" s="1" t="n">
        <v>1</v>
      </c>
    </row>
    <row r="71" customFormat="false" ht="18.7" hidden="false" customHeight="true" outlineLevel="0" collapsed="false">
      <c r="A71" s="1" t="n">
        <v>70</v>
      </c>
      <c r="B71" s="7" t="str">
        <f aca="false">HYPERLINK("https://mncourtfraud.com/file/GES-23.zip","GES-23.zip")</f>
        <v>GES-23.zip</v>
      </c>
      <c r="C71" s="8" t="str">
        <f aca="false">HYPERLINK("https://mncourtfraud.com/file/27-CR-21-20072.pdf","27-CR-21-20072")</f>
        <v>27-CR-21-20072</v>
      </c>
      <c r="D71" s="3" t="s">
        <v>85</v>
      </c>
      <c r="E71" s="8" t="str">
        <f aca="false">HYPERLINK("https://mncourtfraud.com/file/MCRO_27-CR-21-20072_Other Document_2022-05-31_20240430083058.pdf","MCRO_27-CR-21-20072_Other Document_2022-05-31_20240430083058.pdf")</f>
        <v>MCRO_27-CR-21-20072_Other Document_2022-05-31_20240430083058.pdf</v>
      </c>
      <c r="F71" s="1" t="s">
        <v>125</v>
      </c>
      <c r="G71" s="9" t="n">
        <v>44712</v>
      </c>
      <c r="H71" s="1" t="n">
        <v>1</v>
      </c>
    </row>
    <row r="72" customFormat="false" ht="18.7" hidden="false" customHeight="true" outlineLevel="0" collapsed="false">
      <c r="A72" s="1" t="n">
        <v>71</v>
      </c>
      <c r="B72" s="7" t="str">
        <f aca="false">HYPERLINK("https://mncourtfraud.com/file/GES-23.zip","GES-23.zip")</f>
        <v>GES-23.zip</v>
      </c>
      <c r="C72" s="8" t="str">
        <f aca="false">HYPERLINK("https://mncourtfraud.com/file/27-CR-21-20988.pdf","27-CR-21-20988")</f>
        <v>27-CR-21-20988</v>
      </c>
      <c r="D72" s="3" t="s">
        <v>88</v>
      </c>
      <c r="E72" s="8" t="str">
        <f aca="false">HYPERLINK("https://mncourtfraud.com/file/MCRO_27-CR-21-20988_Other Document_2022-05-31_20240430083351.pdf","MCRO_27-CR-21-20988_Other Document_2022-05-31_20240430083351.pdf")</f>
        <v>MCRO_27-CR-21-20988_Other Document_2022-05-31_20240430083351.pdf</v>
      </c>
      <c r="F72" s="1" t="s">
        <v>125</v>
      </c>
      <c r="G72" s="9" t="n">
        <v>44712</v>
      </c>
      <c r="H72" s="1" t="n">
        <v>1</v>
      </c>
    </row>
    <row r="73" customFormat="false" ht="18.7" hidden="false" customHeight="true" outlineLevel="0" collapsed="false">
      <c r="A73" s="1" t="n">
        <v>72</v>
      </c>
      <c r="B73" s="7" t="str">
        <f aca="false">HYPERLINK("https://mncourtfraud.com/file/GES-23.zip","GES-23.zip")</f>
        <v>GES-23.zip</v>
      </c>
      <c r="C73" s="8" t="str">
        <f aca="false">HYPERLINK("https://mncourtfraud.com/file/27-CR-21-21355.pdf","27-CR-21-21355")</f>
        <v>27-CR-21-21355</v>
      </c>
      <c r="D73" s="3" t="s">
        <v>88</v>
      </c>
      <c r="E73" s="8" t="str">
        <f aca="false">HYPERLINK("https://mncourtfraud.com/file/MCRO_27-CR-21-21355_Other Document_2022-05-31_20240430083459.pdf","MCRO_27-CR-21-21355_Other Document_2022-05-31_20240430083459.pdf")</f>
        <v>MCRO_27-CR-21-21355_Other Document_2022-05-31_20240430083459.pdf</v>
      </c>
      <c r="F73" s="1" t="s">
        <v>125</v>
      </c>
      <c r="G73" s="9" t="n">
        <v>44712</v>
      </c>
      <c r="H73" s="1" t="n">
        <v>1</v>
      </c>
    </row>
    <row r="74" customFormat="false" ht="18.7" hidden="false" customHeight="true" outlineLevel="0" collapsed="false">
      <c r="A74" s="1" t="n">
        <v>73</v>
      </c>
      <c r="B74" s="7" t="str">
        <f aca="false">HYPERLINK("https://mncourtfraud.com/file/GES-23.zip","GES-23.zip")</f>
        <v>GES-23.zip</v>
      </c>
      <c r="C74" s="8" t="str">
        <f aca="false">HYPERLINK("https://mncourtfraud.com/file/27-CR-21-23188.pdf","27-CR-21-23188")</f>
        <v>27-CR-21-23188</v>
      </c>
      <c r="D74" s="3" t="s">
        <v>88</v>
      </c>
      <c r="E74" s="8" t="str">
        <f aca="false">HYPERLINK("https://mncourtfraud.com/file/MCRO_27-CR-21-23188_Other Document_2022-05-31_20240430083748.pdf","MCRO_27-CR-21-23188_Other Document_2022-05-31_20240430083748.pdf")</f>
        <v>MCRO_27-CR-21-23188_Other Document_2022-05-31_20240430083748.pdf</v>
      </c>
      <c r="F74" s="1" t="s">
        <v>125</v>
      </c>
      <c r="G74" s="9" t="n">
        <v>44712</v>
      </c>
      <c r="H74" s="1" t="n">
        <v>1</v>
      </c>
    </row>
    <row r="75" customFormat="false" ht="18.7" hidden="false" customHeight="true" outlineLevel="0" collapsed="false">
      <c r="A75" s="1" t="n">
        <v>74</v>
      </c>
      <c r="B75" s="7" t="str">
        <f aca="false">HYPERLINK("https://mncourtfraud.com/file/GES-23.zip","GES-23.zip")</f>
        <v>GES-23.zip</v>
      </c>
      <c r="C75" s="8" t="str">
        <f aca="false">HYPERLINK("https://mncourtfraud.com/file/27-CR-21-23215.pdf","27-CR-21-23215")</f>
        <v>27-CR-21-23215</v>
      </c>
      <c r="D75" s="3" t="s">
        <v>88</v>
      </c>
      <c r="E75" s="8" t="str">
        <f aca="false">HYPERLINK("https://mncourtfraud.com/file/MCRO_27-CR-21-23215_Other Document_2022-05-31_20240430084131.pdf","MCRO_27-CR-21-23215_Other Document_2022-05-31_20240430084131.pdf")</f>
        <v>MCRO_27-CR-21-23215_Other Document_2022-05-31_20240430084131.pdf</v>
      </c>
      <c r="F75" s="1" t="s">
        <v>125</v>
      </c>
      <c r="G75" s="9" t="n">
        <v>44712</v>
      </c>
      <c r="H75" s="1" t="n">
        <v>1</v>
      </c>
    </row>
    <row r="76" customFormat="false" ht="18.7" hidden="false" customHeight="true" outlineLevel="0" collapsed="false">
      <c r="A76" s="1" t="n">
        <v>75</v>
      </c>
      <c r="B76" s="7" t="str">
        <f aca="false">HYPERLINK("https://mncourtfraud.com/file/GES-23.zip","GES-23.zip")</f>
        <v>GES-23.zip</v>
      </c>
      <c r="C76" s="8" t="str">
        <f aca="false">HYPERLINK("https://mncourtfraud.com/file/27-CR-22-4087.pdf","27-CR-22-4087")</f>
        <v>27-CR-22-4087</v>
      </c>
      <c r="D76" s="3" t="s">
        <v>88</v>
      </c>
      <c r="E76" s="8" t="str">
        <f aca="false">HYPERLINK("https://mncourtfraud.com/file/MCRO_27-CR-22-4087_Other Document_2022-05-31_20240429035323.pdf","MCRO_27-CR-22-4087_Other Document_2022-05-31_20240429035323.pdf")</f>
        <v>MCRO_27-CR-22-4087_Other Document_2022-05-31_20240429035323.pdf</v>
      </c>
      <c r="F76" s="1" t="s">
        <v>125</v>
      </c>
      <c r="G76" s="9" t="n">
        <v>44712</v>
      </c>
      <c r="H76" s="1" t="n">
        <v>1</v>
      </c>
    </row>
    <row r="77" customFormat="false" ht="18.7" hidden="false" customHeight="true" outlineLevel="0" collapsed="false">
      <c r="A77" s="1" t="n">
        <v>76</v>
      </c>
      <c r="B77" s="7" t="str">
        <f aca="false">HYPERLINK("https://mncourtfraud.com/file/GES-23.zip","GES-23.zip")</f>
        <v>GES-23.zip</v>
      </c>
      <c r="C77" s="8" t="str">
        <f aca="false">HYPERLINK("https://mncourtfraud.com/file/27-CR-22-22963.pdf","27-CR-22-22963")</f>
        <v>27-CR-22-22963</v>
      </c>
      <c r="D77" s="3" t="s">
        <v>88</v>
      </c>
      <c r="E77" s="8" t="str">
        <f aca="false">HYPERLINK("https://mncourtfraud.com/file/MCRO_27-CR-22-22963_Notice of Hearing_2023-01-05_20240429163946.pdf","MCRO_27-CR-22-22963_Notice of Hearing_2023-01-05_20240429163946.pdf")</f>
        <v>MCRO_27-CR-22-22963_Notice of Hearing_2023-01-05_20240429163946.pdf</v>
      </c>
      <c r="F77" s="1" t="s">
        <v>1081</v>
      </c>
      <c r="G77" s="9" t="n">
        <v>44931</v>
      </c>
      <c r="H77" s="1" t="n">
        <v>1</v>
      </c>
    </row>
    <row r="78" customFormat="false" ht="18.7" hidden="false" customHeight="true" outlineLevel="0" collapsed="false">
      <c r="A78" s="1" t="n">
        <v>77</v>
      </c>
      <c r="B78" s="7" t="str">
        <f aca="false">HYPERLINK("https://mncourtfraud.com/file/GES-23.zip","GES-23.zip")</f>
        <v>GES-23.zip</v>
      </c>
      <c r="C78" s="8" t="str">
        <f aca="false">HYPERLINK("https://mncourtfraud.com/file/27-CR-22-22963.pdf","27-CR-22-22963")</f>
        <v>27-CR-22-22963</v>
      </c>
      <c r="D78" s="3" t="s">
        <v>88</v>
      </c>
      <c r="E78" s="8" t="str">
        <f aca="false">HYPERLINK("https://mncourtfraud.com/file/MCRO_27-CR-22-22963_Notice of Hearing_2023-03-15_20240429163944.pdf","MCRO_27-CR-22-22963_Notice of Hearing_2023-03-15_20240429163944.pdf")</f>
        <v>MCRO_27-CR-22-22963_Notice of Hearing_2023-03-15_20240429163944.pdf</v>
      </c>
      <c r="F78" s="1" t="s">
        <v>1082</v>
      </c>
      <c r="G78" s="9" t="n">
        <v>45000</v>
      </c>
      <c r="H78" s="1" t="n">
        <v>1</v>
      </c>
    </row>
    <row r="79" customFormat="false" ht="18.7" hidden="false" customHeight="true" outlineLevel="0" collapsed="false">
      <c r="A79" s="1" t="n">
        <v>78</v>
      </c>
      <c r="B79" s="7" t="str">
        <f aca="false">HYPERLINK("https://mncourtfraud.com/file/GES-23.zip","GES-23.zip")</f>
        <v>GES-23.zip</v>
      </c>
      <c r="C79" s="8" t="str">
        <f aca="false">HYPERLINK("https://mncourtfraud.com/file/27-CR-22-22963.pdf","27-CR-22-22963")</f>
        <v>27-CR-22-22963</v>
      </c>
      <c r="D79" s="3" t="s">
        <v>88</v>
      </c>
      <c r="E79" s="8" t="str">
        <f aca="false">HYPERLINK("https://mncourtfraud.com/file/MCRO_27-CR-22-22963_Returned Mail_2023-03-27_20240429163943.pdf","MCRO_27-CR-22-22963_Returned Mail_2023-03-27_20240429163943.pdf")</f>
        <v>MCRO_27-CR-22-22963_Returned Mail_2023-03-27_20240429163943.pdf</v>
      </c>
      <c r="F79" s="1" t="s">
        <v>1083</v>
      </c>
      <c r="G79" s="9" t="n">
        <v>45012</v>
      </c>
      <c r="H79" s="1" t="n">
        <v>1</v>
      </c>
    </row>
    <row r="80" customFormat="false" ht="18.7" hidden="false" customHeight="true" outlineLevel="0" collapsed="false">
      <c r="A80" s="1" t="n">
        <v>79</v>
      </c>
      <c r="G80" s="9"/>
    </row>
    <row r="81" customFormat="false" ht="18.7" hidden="false" customHeight="true" outlineLevel="0" collapsed="false">
      <c r="A81" s="1" t="n">
        <v>80</v>
      </c>
      <c r="B81" s="7" t="str">
        <f aca="false">HYPERLINK("https://mncourtfraud.com/file/TJ-33.zip","TJ-33.zip")</f>
        <v>TJ-33.zip</v>
      </c>
      <c r="C81" s="8" t="str">
        <f aca="false">HYPERLINK("https://mncourtfraud.com/file/27-CR-20-20037.pdf","27-CR-20-20037")</f>
        <v>27-CR-20-20037</v>
      </c>
      <c r="D81" s="3" t="s">
        <v>334</v>
      </c>
      <c r="E81" s="8" t="str">
        <f aca="false">HYPERLINK("https://mncourtfraud.com/file/MCRO_27-CR-20-20037_Notice of Case Reassignment_2021-03-30_20240430090150.pdf","MCRO_27-CR-20-20037_Notice of Case Reassignment_2021-03-30_20240430090150.pdf")</f>
        <v>MCRO_27-CR-20-20037_Notice of Case Reassignment_2021-03-30_20240430090150.pdf</v>
      </c>
      <c r="F81" s="1" t="s">
        <v>1084</v>
      </c>
      <c r="G81" s="9" t="n">
        <v>44285</v>
      </c>
      <c r="H81" s="1" t="n">
        <v>34</v>
      </c>
    </row>
    <row r="82" customFormat="false" ht="18.7" hidden="false" customHeight="true" outlineLevel="0" collapsed="false">
      <c r="A82" s="1" t="n">
        <v>81</v>
      </c>
      <c r="B82" s="7" t="str">
        <f aca="false">HYPERLINK("https://mncourtfraud.com/file/TJ-33.zip","TJ-33.zip")</f>
        <v>TJ-33.zip</v>
      </c>
      <c r="C82" s="8" t="str">
        <f aca="false">HYPERLINK("https://mncourtfraud.com/file/27-CR-20-8926.pdf","27-CR-20-8926")</f>
        <v>27-CR-20-8926</v>
      </c>
      <c r="D82" s="3" t="s">
        <v>334</v>
      </c>
      <c r="E82" s="8" t="str">
        <f aca="false">HYPERLINK("https://mncourtfraud.com/file/MCRO_27-CR-20-8926_Notice of Case Reassignment_2021-03-30_20240430085445.pdf","MCRO_27-CR-20-8926_Notice of Case Reassignment_2021-03-30_20240430085445.pdf")</f>
        <v>MCRO_27-CR-20-8926_Notice of Case Reassignment_2021-03-30_20240430085445.pdf</v>
      </c>
      <c r="F82" s="1" t="s">
        <v>1085</v>
      </c>
      <c r="G82" s="9" t="n">
        <v>44285</v>
      </c>
      <c r="H82" s="1" t="n">
        <v>34</v>
      </c>
    </row>
    <row r="83" customFormat="false" ht="18.7" hidden="false" customHeight="true" outlineLevel="0" collapsed="false">
      <c r="A83" s="1" t="n">
        <v>82</v>
      </c>
      <c r="B83" s="7" t="str">
        <f aca="false">HYPERLINK("https://mncourtfraud.com/file/TJ-33.zip","TJ-33.zip")</f>
        <v>TJ-33.zip</v>
      </c>
      <c r="C83" s="8" t="str">
        <f aca="false">HYPERLINK("https://mncourtfraud.com/file/27-CR-19-19606.pdf","27-CR-19-19606")</f>
        <v>27-CR-19-19606</v>
      </c>
      <c r="D83" s="3" t="s">
        <v>334</v>
      </c>
      <c r="E83" s="8" t="str">
        <f aca="false">HYPERLINK("https://mncourtfraud.com/file/MCRO_27-CR-19-19606_Notice of Case Reassignment_2021-03-30_20240430092052.pdf","MCRO_27-CR-19-19606_Notice of Case Reassignment_2021-03-30_20240430092052.pdf")</f>
        <v>MCRO_27-CR-19-19606_Notice of Case Reassignment_2021-03-30_20240430092052.pdf</v>
      </c>
      <c r="F83" s="1" t="s">
        <v>1086</v>
      </c>
      <c r="G83" s="9" t="n">
        <v>44285</v>
      </c>
      <c r="H83" s="1" t="n">
        <v>31</v>
      </c>
    </row>
    <row r="84" customFormat="false" ht="18.7" hidden="false" customHeight="true" outlineLevel="0" collapsed="false">
      <c r="A84" s="1" t="n">
        <v>83</v>
      </c>
      <c r="B84" s="7" t="str">
        <f aca="false">HYPERLINK("https://mncourtfraud.com/file/TJ-33.zip","TJ-33.zip")</f>
        <v>TJ-33.zip</v>
      </c>
      <c r="C84" s="8" t="str">
        <f aca="false">HYPERLINK("https://mncourtfraud.com/file/27-CR-20-8926.pdf","27-CR-20-8926")</f>
        <v>27-CR-20-8926</v>
      </c>
      <c r="D84" s="3" t="s">
        <v>334</v>
      </c>
      <c r="E84" s="8" t="str">
        <f aca="false">HYPERLINK("https://mncourtfraud.com/file/MCRO_27-CR-20-8926_Returned Mail_2020-06-04_20240430085452.pdf","MCRO_27-CR-20-8926_Returned Mail_2020-06-04_20240430085452.pdf")</f>
        <v>MCRO_27-CR-20-8926_Returned Mail_2020-06-04_20240430085452.pdf</v>
      </c>
      <c r="F84" s="1" t="s">
        <v>1087</v>
      </c>
      <c r="G84" s="9" t="n">
        <v>43986</v>
      </c>
      <c r="H84" s="1" t="n">
        <v>19</v>
      </c>
    </row>
    <row r="85" customFormat="false" ht="18.7" hidden="false" customHeight="true" outlineLevel="0" collapsed="false">
      <c r="A85" s="1" t="n">
        <v>84</v>
      </c>
      <c r="B85" s="7" t="str">
        <f aca="false">HYPERLINK("https://mncourtfraud.com/file/TJ-33.zip","TJ-33.zip")</f>
        <v>TJ-33.zip</v>
      </c>
      <c r="C85" s="8" t="str">
        <f aca="false">HYPERLINK("https://mncourtfraud.com/file/27-CR-19-12466.pdf","27-CR-19-12466")</f>
        <v>27-CR-19-12466</v>
      </c>
      <c r="D85" s="3" t="s">
        <v>334</v>
      </c>
      <c r="E85" s="8" t="str">
        <f aca="false">HYPERLINK("https://mncourtfraud.com/file/MCRO_27-CR-19-12466_Notice of Case Reassignment_2024-01-12_20240430091812.pdf","MCRO_27-CR-19-12466_Notice of Case Reassignment_2024-01-12_20240430091812.pdf")</f>
        <v>MCRO_27-CR-19-12466_Notice of Case Reassignment_2024-01-12_20240430091812.pdf</v>
      </c>
      <c r="F85" s="1" t="s">
        <v>1088</v>
      </c>
      <c r="G85" s="9" t="n">
        <v>45303</v>
      </c>
      <c r="H85" s="1" t="n">
        <v>10</v>
      </c>
    </row>
    <row r="86" customFormat="false" ht="18.7" hidden="false" customHeight="true" outlineLevel="0" collapsed="false">
      <c r="A86" s="1" t="n">
        <v>85</v>
      </c>
      <c r="B86" s="7" t="str">
        <f aca="false">HYPERLINK("https://mncourtfraud.com/file/TJ-33.zip","TJ-33.zip")</f>
        <v>TJ-33.zip</v>
      </c>
      <c r="C86" s="8" t="str">
        <f aca="false">HYPERLINK("https://mncourtfraud.com/file/27-CR-19-19606.pdf","27-CR-19-19606")</f>
        <v>27-CR-19-19606</v>
      </c>
      <c r="D86" s="3" t="s">
        <v>334</v>
      </c>
      <c r="E86" s="8" t="str">
        <f aca="false">HYPERLINK("https://mncourtfraud.com/file/MCRO_27-CR-19-19606_Notice of Case Reassignment_2024-01-12_20240430092032.pdf","MCRO_27-CR-19-19606_Notice of Case Reassignment_2024-01-12_20240430092032.pdf")</f>
        <v>MCRO_27-CR-19-19606_Notice of Case Reassignment_2024-01-12_20240430092032.pdf</v>
      </c>
      <c r="F86" s="1" t="s">
        <v>1089</v>
      </c>
      <c r="G86" s="9" t="n">
        <v>45303</v>
      </c>
      <c r="H86" s="1" t="n">
        <v>10</v>
      </c>
    </row>
    <row r="87" customFormat="false" ht="18.7" hidden="false" customHeight="true" outlineLevel="0" collapsed="false">
      <c r="A87" s="1" t="n">
        <v>86</v>
      </c>
      <c r="B87" s="7" t="str">
        <f aca="false">HYPERLINK("https://mncourtfraud.com/file/TJ-33.zip","TJ-33.zip")</f>
        <v>TJ-33.zip</v>
      </c>
      <c r="C87" s="8" t="str">
        <f aca="false">HYPERLINK("https://mncourtfraud.com/file/27-CR-20-20037.pdf","27-CR-20-20037")</f>
        <v>27-CR-20-20037</v>
      </c>
      <c r="D87" s="3" t="s">
        <v>334</v>
      </c>
      <c r="E87" s="8" t="str">
        <f aca="false">HYPERLINK("https://mncourtfraud.com/file/MCRO_27-CR-20-20037_Notice of Case Reassignment_2024-01-12_20240430090130.pdf","MCRO_27-CR-20-20037_Notice of Case Reassignment_2024-01-12_20240430090130.pdf")</f>
        <v>MCRO_27-CR-20-20037_Notice of Case Reassignment_2024-01-12_20240430090130.pdf</v>
      </c>
      <c r="F87" s="1" t="s">
        <v>1090</v>
      </c>
      <c r="G87" s="9" t="n">
        <v>45303</v>
      </c>
      <c r="H87" s="1" t="n">
        <v>10</v>
      </c>
    </row>
    <row r="88" customFormat="false" ht="18.7" hidden="false" customHeight="true" outlineLevel="0" collapsed="false">
      <c r="A88" s="1" t="n">
        <v>87</v>
      </c>
      <c r="B88" s="7" t="str">
        <f aca="false">HYPERLINK("https://mncourtfraud.com/file/TJ-33.zip","TJ-33.zip")</f>
        <v>TJ-33.zip</v>
      </c>
      <c r="C88" s="8" t="str">
        <f aca="false">HYPERLINK("https://mncourtfraud.com/file/27-CR-20-8926.pdf","27-CR-20-8926")</f>
        <v>27-CR-20-8926</v>
      </c>
      <c r="D88" s="3" t="s">
        <v>334</v>
      </c>
      <c r="E88" s="8" t="str">
        <f aca="false">HYPERLINK("https://mncourtfraud.com/file/MCRO_27-CR-20-8926_Notice of Case Reassignment_2024-01-12_20240430085428.pdf","MCRO_27-CR-20-8926_Notice of Case Reassignment_2024-01-12_20240430085428.pdf")</f>
        <v>MCRO_27-CR-20-8926_Notice of Case Reassignment_2024-01-12_20240430085428.pdf</v>
      </c>
      <c r="F88" s="1" t="s">
        <v>1091</v>
      </c>
      <c r="G88" s="9" t="n">
        <v>45303</v>
      </c>
      <c r="H88" s="1" t="n">
        <v>10</v>
      </c>
    </row>
    <row r="89" customFormat="false" ht="18.7" hidden="false" customHeight="true" outlineLevel="0" collapsed="false">
      <c r="A89" s="1" t="n">
        <v>88</v>
      </c>
      <c r="B89" s="7" t="str">
        <f aca="false">HYPERLINK("https://mncourtfraud.com/file/TJ-33.zip","TJ-33.zip")</f>
        <v>TJ-33.zip</v>
      </c>
      <c r="C89" s="8" t="str">
        <f aca="false">HYPERLINK("https://mncourtfraud.com/file/27-CR-21-19552.pdf","27-CR-21-19552")</f>
        <v>27-CR-21-19552</v>
      </c>
      <c r="D89" s="3" t="s">
        <v>334</v>
      </c>
      <c r="E89" s="8" t="str">
        <f aca="false">HYPERLINK("https://mncourtfraud.com/file/MCRO_27-CR-21-19552_Notice of Case Reassignment_2024-01-12_20240430082834.pdf","MCRO_27-CR-21-19552_Notice of Case Reassignment_2024-01-12_20240430082834.pdf")</f>
        <v>MCRO_27-CR-21-19552_Notice of Case Reassignment_2024-01-12_20240430082834.pdf</v>
      </c>
      <c r="F89" s="1" t="s">
        <v>1092</v>
      </c>
      <c r="G89" s="9" t="n">
        <v>45303</v>
      </c>
      <c r="H89" s="1" t="n">
        <v>10</v>
      </c>
    </row>
    <row r="90" customFormat="false" ht="18.7" hidden="false" customHeight="true" outlineLevel="0" collapsed="false">
      <c r="A90" s="1" t="n">
        <v>89</v>
      </c>
      <c r="B90" s="7" t="str">
        <f aca="false">HYPERLINK("https://mncourtfraud.com/file/TJ-33.zip","TJ-33.zip")</f>
        <v>TJ-33.zip</v>
      </c>
      <c r="C90" s="8" t="str">
        <f aca="false">HYPERLINK("https://mncourtfraud.com/file/27-CR-21-23233.pdf","27-CR-21-23233")</f>
        <v>27-CR-21-23233</v>
      </c>
      <c r="D90" s="3" t="s">
        <v>334</v>
      </c>
      <c r="E90" s="8" t="str">
        <f aca="false">HYPERLINK("https://mncourtfraud.com/file/MCRO_27-CR-21-23233_Notice of Case Reassignment_2024-01-12_20240430084213.pdf","MCRO_27-CR-21-23233_Notice of Case Reassignment_2024-01-12_20240430084213.pdf")</f>
        <v>MCRO_27-CR-21-23233_Notice of Case Reassignment_2024-01-12_20240430084213.pdf</v>
      </c>
      <c r="F90" s="1" t="s">
        <v>1093</v>
      </c>
      <c r="G90" s="9" t="n">
        <v>45303</v>
      </c>
      <c r="H90" s="1" t="n">
        <v>10</v>
      </c>
    </row>
    <row r="91" customFormat="false" ht="18.7" hidden="false" customHeight="true" outlineLevel="0" collapsed="false">
      <c r="A91" s="1" t="n">
        <v>90</v>
      </c>
      <c r="B91" s="7" t="str">
        <f aca="false">HYPERLINK("https://mncourtfraud.com/file/TJ-33.zip","TJ-33.zip")</f>
        <v>TJ-33.zip</v>
      </c>
      <c r="C91" s="8" t="str">
        <f aca="false">HYPERLINK("https://mncourtfraud.com/file/27-CR-19-12466.pdf","27-CR-19-12466")</f>
        <v>27-CR-19-12466</v>
      </c>
      <c r="D91" s="3" t="s">
        <v>334</v>
      </c>
      <c r="E91" s="8" t="str">
        <f aca="false">HYPERLINK("https://mncourtfraud.com/file/MCRO_27-CR-19-12466_Order-Evaluation for Competency to Proceed (Rule 20.01)_2019-09-16_20240430091854.pdf","MCRO_27-CR-19-12466_Order-Evaluation for Competency to Proceed (Rule 20.01)_2019-09-16_20240430091854.pdf")</f>
        <v>MCRO_27-CR-19-12466_Order-Evaluation for Competency to Proceed (Rule 20.01)_2019-09-16_20240430091854.pdf</v>
      </c>
      <c r="F91" s="1" t="s">
        <v>1094</v>
      </c>
      <c r="G91" s="9" t="n">
        <v>43724</v>
      </c>
      <c r="H91" s="1" t="n">
        <v>9</v>
      </c>
    </row>
    <row r="92" customFormat="false" ht="18.7" hidden="false" customHeight="true" outlineLevel="0" collapsed="false">
      <c r="A92" s="1" t="n">
        <v>91</v>
      </c>
      <c r="B92" s="7" t="str">
        <f aca="false">HYPERLINK("https://mncourtfraud.com/file/TJ-33.zip","TJ-33.zip")</f>
        <v>TJ-33.zip</v>
      </c>
      <c r="C92" s="8" t="str">
        <f aca="false">HYPERLINK("https://mncourtfraud.com/file/27-CR-19-19606.pdf","27-CR-19-19606")</f>
        <v>27-CR-19-19606</v>
      </c>
      <c r="D92" s="3" t="s">
        <v>334</v>
      </c>
      <c r="E92" s="8" t="str">
        <f aca="false">HYPERLINK("https://mncourtfraud.com/file/MCRO_27-CR-19-19606_Order-Evaluation for Competency to Proceed (Rule 20.01)_2019-09-16_20240430092107.pdf","MCRO_27-CR-19-19606_Order-Evaluation for Competency to Proceed (Rule 20.01)_2019-09-16_20240430092107.pdf")</f>
        <v>MCRO_27-CR-19-19606_Order-Evaluation for Competency to Proceed (Rule 20.01)_2019-09-16_20240430092107.pdf</v>
      </c>
      <c r="F92" s="1" t="s">
        <v>1095</v>
      </c>
      <c r="G92" s="9" t="n">
        <v>43724</v>
      </c>
      <c r="H92" s="1" t="n">
        <v>9</v>
      </c>
    </row>
    <row r="93" customFormat="false" ht="18.7" hidden="false" customHeight="true" outlineLevel="0" collapsed="false">
      <c r="A93" s="1" t="n">
        <v>92</v>
      </c>
      <c r="B93" s="7" t="str">
        <f aca="false">HYPERLINK("https://mncourtfraud.com/file/TJ-33.zip","TJ-33.zip")</f>
        <v>TJ-33.zip</v>
      </c>
      <c r="C93" s="8" t="str">
        <f aca="false">HYPERLINK("https://mncourtfraud.com/file/27-CR-19-12466.pdf","27-CR-19-12466")</f>
        <v>27-CR-19-12466</v>
      </c>
      <c r="D93" s="3" t="s">
        <v>334</v>
      </c>
      <c r="E93" s="8" t="str">
        <f aca="false">HYPERLINK("https://mncourtfraud.com/file/MCRO_27-CR-19-12466_Finding of Incompetency and Order_2024-03-12_20240430091809.pdf","MCRO_27-CR-19-12466_Finding of Incompetency and Order_2024-03-12_20240430091809.pdf")</f>
        <v>MCRO_27-CR-19-12466_Finding of Incompetency and Order_2024-03-12_20240430091809.pdf</v>
      </c>
      <c r="F93" s="1" t="s">
        <v>465</v>
      </c>
      <c r="G93" s="9" t="n">
        <v>45363</v>
      </c>
      <c r="H93" s="1" t="n">
        <v>9</v>
      </c>
    </row>
    <row r="94" customFormat="false" ht="18.7" hidden="false" customHeight="true" outlineLevel="0" collapsed="false">
      <c r="A94" s="1" t="n">
        <v>93</v>
      </c>
      <c r="B94" s="7" t="str">
        <f aca="false">HYPERLINK("https://mncourtfraud.com/file/TJ-33.zip","TJ-33.zip")</f>
        <v>TJ-33.zip</v>
      </c>
      <c r="C94" s="8" t="str">
        <f aca="false">HYPERLINK("https://mncourtfraud.com/file/27-CR-19-19606.pdf","27-CR-19-19606")</f>
        <v>27-CR-19-19606</v>
      </c>
      <c r="D94" s="3" t="s">
        <v>334</v>
      </c>
      <c r="E94" s="8" t="str">
        <f aca="false">HYPERLINK("https://mncourtfraud.com/file/MCRO_27-CR-19-19606_Finding of Incompetency and Order_2024-03-12_20240430092030.pdf","MCRO_27-CR-19-19606_Finding of Incompetency and Order_2024-03-12_20240430092030.pdf")</f>
        <v>MCRO_27-CR-19-19606_Finding of Incompetency and Order_2024-03-12_20240430092030.pdf</v>
      </c>
      <c r="F94" s="1" t="s">
        <v>465</v>
      </c>
      <c r="G94" s="9" t="n">
        <v>45363</v>
      </c>
      <c r="H94" s="1" t="n">
        <v>9</v>
      </c>
    </row>
    <row r="95" customFormat="false" ht="18.7" hidden="false" customHeight="true" outlineLevel="0" collapsed="false">
      <c r="A95" s="1" t="n">
        <v>94</v>
      </c>
      <c r="B95" s="7" t="str">
        <f aca="false">HYPERLINK("https://mncourtfraud.com/file/TJ-33.zip","TJ-33.zip")</f>
        <v>TJ-33.zip</v>
      </c>
      <c r="C95" s="8" t="str">
        <f aca="false">HYPERLINK("https://mncourtfraud.com/file/27-CR-20-20037.pdf","27-CR-20-20037")</f>
        <v>27-CR-20-20037</v>
      </c>
      <c r="D95" s="3" t="s">
        <v>334</v>
      </c>
      <c r="E95" s="8" t="str">
        <f aca="false">HYPERLINK("https://mncourtfraud.com/file/MCRO_27-CR-20-20037_Finding of Incompetency and Order_2024-03-12_20240430090128.pdf","MCRO_27-CR-20-20037_Finding of Incompetency and Order_2024-03-12_20240430090128.pdf")</f>
        <v>MCRO_27-CR-20-20037_Finding of Incompetency and Order_2024-03-12_20240430090128.pdf</v>
      </c>
      <c r="F95" s="1" t="s">
        <v>465</v>
      </c>
      <c r="G95" s="9" t="n">
        <v>45363</v>
      </c>
      <c r="H95" s="1" t="n">
        <v>9</v>
      </c>
    </row>
    <row r="96" customFormat="false" ht="18.7" hidden="false" customHeight="true" outlineLevel="0" collapsed="false">
      <c r="A96" s="1" t="n">
        <v>95</v>
      </c>
      <c r="B96" s="7" t="str">
        <f aca="false">HYPERLINK("https://mncourtfraud.com/file/TJ-33.zip","TJ-33.zip")</f>
        <v>TJ-33.zip</v>
      </c>
      <c r="C96" s="8" t="str">
        <f aca="false">HYPERLINK("https://mncourtfraud.com/file/27-CR-20-8926.pdf","27-CR-20-8926")</f>
        <v>27-CR-20-8926</v>
      </c>
      <c r="D96" s="3" t="s">
        <v>334</v>
      </c>
      <c r="E96" s="8" t="str">
        <f aca="false">HYPERLINK("https://mncourtfraud.com/file/MCRO_27-CR-20-8926_Finding of Incompetency and Order_2024-03-12_20240430085426.pdf","MCRO_27-CR-20-8926_Finding of Incompetency and Order_2024-03-12_20240430085426.pdf")</f>
        <v>MCRO_27-CR-20-8926_Finding of Incompetency and Order_2024-03-12_20240430085426.pdf</v>
      </c>
      <c r="F96" s="1" t="s">
        <v>465</v>
      </c>
      <c r="G96" s="9" t="n">
        <v>45363</v>
      </c>
      <c r="H96" s="1" t="n">
        <v>9</v>
      </c>
    </row>
    <row r="97" customFormat="false" ht="18.7" hidden="false" customHeight="true" outlineLevel="0" collapsed="false">
      <c r="A97" s="1" t="n">
        <v>96</v>
      </c>
      <c r="B97" s="7" t="str">
        <f aca="false">HYPERLINK("https://mncourtfraud.com/file/TJ-33.zip","TJ-33.zip")</f>
        <v>TJ-33.zip</v>
      </c>
      <c r="C97" s="8" t="str">
        <f aca="false">HYPERLINK("https://mncourtfraud.com/file/27-CR-21-19552.pdf","27-CR-21-19552")</f>
        <v>27-CR-21-19552</v>
      </c>
      <c r="D97" s="3" t="s">
        <v>334</v>
      </c>
      <c r="E97" s="8" t="str">
        <f aca="false">HYPERLINK("https://mncourtfraud.com/file/MCRO_27-CR-21-19552_Finding of Incompetency and Order_2024-03-12_20240430082832.pdf","MCRO_27-CR-21-19552_Finding of Incompetency and Order_2024-03-12_20240430082832.pdf")</f>
        <v>MCRO_27-CR-21-19552_Finding of Incompetency and Order_2024-03-12_20240430082832.pdf</v>
      </c>
      <c r="F97" s="1" t="s">
        <v>465</v>
      </c>
      <c r="G97" s="9" t="n">
        <v>45363</v>
      </c>
      <c r="H97" s="1" t="n">
        <v>9</v>
      </c>
    </row>
    <row r="98" customFormat="false" ht="18.7" hidden="false" customHeight="true" outlineLevel="0" collapsed="false">
      <c r="A98" s="1" t="n">
        <v>97</v>
      </c>
      <c r="B98" s="7" t="str">
        <f aca="false">HYPERLINK("https://mncourtfraud.com/file/TJ-33.zip","TJ-33.zip")</f>
        <v>TJ-33.zip</v>
      </c>
      <c r="C98" s="8" t="str">
        <f aca="false">HYPERLINK("https://mncourtfraud.com/file/27-CR-21-23233.pdf","27-CR-21-23233")</f>
        <v>27-CR-21-23233</v>
      </c>
      <c r="D98" s="3" t="s">
        <v>334</v>
      </c>
      <c r="E98" s="8" t="str">
        <f aca="false">HYPERLINK("https://mncourtfraud.com/file/MCRO_27-CR-21-23233_Finding of Incompetency and Order_2024-03-12_20240430084211.pdf","MCRO_27-CR-21-23233_Finding of Incompetency and Order_2024-03-12_20240430084211.pdf")</f>
        <v>MCRO_27-CR-21-23233_Finding of Incompetency and Order_2024-03-12_20240430084211.pdf</v>
      </c>
      <c r="F98" s="1" t="s">
        <v>465</v>
      </c>
      <c r="G98" s="9" t="n">
        <v>45363</v>
      </c>
      <c r="H98" s="1" t="n">
        <v>9</v>
      </c>
    </row>
    <row r="99" customFormat="false" ht="18.7" hidden="false" customHeight="true" outlineLevel="0" collapsed="false">
      <c r="A99" s="1" t="n">
        <v>98</v>
      </c>
      <c r="B99" s="7" t="str">
        <f aca="false">HYPERLINK("https://mncourtfraud.com/file/TJ-33.zip","TJ-33.zip")</f>
        <v>TJ-33.zip</v>
      </c>
      <c r="C99" s="8" t="str">
        <f aca="false">HYPERLINK("https://mncourtfraud.com/file/27-CR-22-1165.pdf","27-CR-22-1165")</f>
        <v>27-CR-22-1165</v>
      </c>
      <c r="D99" s="3" t="s">
        <v>334</v>
      </c>
      <c r="E99" s="8" t="str">
        <f aca="false">HYPERLINK("https://mncourtfraud.com/file/MCRO_27-CR-22-1165_Finding of Incompetency and Order_2024-03-12_20240429030424.pdf","MCRO_27-CR-22-1165_Finding of Incompetency and Order_2024-03-12_20240429030424.pdf")</f>
        <v>MCRO_27-CR-22-1165_Finding of Incompetency and Order_2024-03-12_20240429030424.pdf</v>
      </c>
      <c r="F99" s="1" t="s">
        <v>465</v>
      </c>
      <c r="G99" s="9" t="n">
        <v>45363</v>
      </c>
      <c r="H99" s="1" t="n">
        <v>9</v>
      </c>
    </row>
    <row r="100" customFormat="false" ht="18.7" hidden="false" customHeight="true" outlineLevel="0" collapsed="false">
      <c r="A100" s="1" t="n">
        <v>99</v>
      </c>
      <c r="B100" s="7" t="str">
        <f aca="false">HYPERLINK("https://mncourtfraud.com/file/TJ-33.zip","TJ-33.zip")</f>
        <v>TJ-33.zip</v>
      </c>
      <c r="C100" s="8" t="str">
        <f aca="false">HYPERLINK("https://mncourtfraud.com/file/27-CR-22-4898.pdf","27-CR-22-4898")</f>
        <v>27-CR-22-4898</v>
      </c>
      <c r="D100" s="3" t="s">
        <v>334</v>
      </c>
      <c r="E100" s="8" t="str">
        <f aca="false">HYPERLINK("https://mncourtfraud.com/file/MCRO_27-CR-22-4898_Finding of Incompetency and Order_2024-03-12_20240429040213.pdf","MCRO_27-CR-22-4898_Finding of Incompetency and Order_2024-03-12_20240429040213.pdf")</f>
        <v>MCRO_27-CR-22-4898_Finding of Incompetency and Order_2024-03-12_20240429040213.pdf</v>
      </c>
      <c r="F100" s="1" t="s">
        <v>465</v>
      </c>
      <c r="G100" s="9" t="n">
        <v>45363</v>
      </c>
      <c r="H100" s="1" t="n">
        <v>9</v>
      </c>
    </row>
    <row r="101" customFormat="false" ht="18.7" hidden="false" customHeight="true" outlineLevel="0" collapsed="false">
      <c r="A101" s="1" t="n">
        <v>100</v>
      </c>
      <c r="B101" s="7" t="str">
        <f aca="false">HYPERLINK("https://mncourtfraud.com/file/TJ-33.zip","TJ-33.zip")</f>
        <v>TJ-33.zip</v>
      </c>
      <c r="C101" s="8" t="str">
        <f aca="false">HYPERLINK("https://mncourtfraud.com/file/27-CR-23-8649.pdf","27-CR-23-8649")</f>
        <v>27-CR-23-8649</v>
      </c>
      <c r="D101" s="3" t="s">
        <v>334</v>
      </c>
      <c r="E101" s="8" t="str">
        <f aca="false">HYPERLINK("https://mncourtfraud.com/file/MCRO_27-CR-23-8649_Finding of Incompetency and Order_2024-03-12_20240430073550.pdf","MCRO_27-CR-23-8649_Finding of Incompetency and Order_2024-03-12_20240430073550.pdf")</f>
        <v>MCRO_27-CR-23-8649_Finding of Incompetency and Order_2024-03-12_20240430073550.pdf</v>
      </c>
      <c r="F101" s="1" t="s">
        <v>465</v>
      </c>
      <c r="G101" s="9" t="n">
        <v>45363</v>
      </c>
      <c r="H101" s="1" t="n">
        <v>9</v>
      </c>
    </row>
    <row r="102" customFormat="false" ht="18.7" hidden="false" customHeight="true" outlineLevel="0" collapsed="false">
      <c r="A102" s="1" t="n">
        <v>101</v>
      </c>
      <c r="B102" s="7" t="str">
        <f aca="false">HYPERLINK("https://mncourtfraud.com/file/TJ-33.zip","TJ-33.zip")</f>
        <v>TJ-33.zip</v>
      </c>
      <c r="C102" s="8" t="str">
        <f aca="false">HYPERLINK("https://mncourtfraud.com/file/27-CR-20-8926.pdf","27-CR-20-8926")</f>
        <v>27-CR-20-8926</v>
      </c>
      <c r="D102" s="3" t="s">
        <v>334</v>
      </c>
      <c r="E102" s="8" t="str">
        <f aca="false">HYPERLINK("https://mncourtfraud.com/file/MCRO_27-CR-20-8926_Pandemic Notice of Cancelled or Rescheduled Hearing_2020-05-28_20240430085453.pdf","MCRO_27-CR-20-8926_Pandemic Notice of Cancelled or Rescheduled Hearing_2020-05-28_20240430085453.pdf")</f>
        <v>MCRO_27-CR-20-8926_Pandemic Notice of Cancelled or Rescheduled Hearing_2020-05-28_20240430085453.pdf</v>
      </c>
      <c r="F102" s="1" t="s">
        <v>1096</v>
      </c>
      <c r="G102" s="9" t="n">
        <v>43979</v>
      </c>
      <c r="H102" s="1" t="n">
        <v>7</v>
      </c>
    </row>
    <row r="103" customFormat="false" ht="18.7" hidden="false" customHeight="true" outlineLevel="0" collapsed="false">
      <c r="A103" s="1" t="n">
        <v>102</v>
      </c>
      <c r="B103" s="7" t="str">
        <f aca="false">HYPERLINK("https://mncourtfraud.com/file/TJ-33.zip","TJ-33.zip")</f>
        <v>TJ-33.zip</v>
      </c>
      <c r="C103" s="8" t="str">
        <f aca="false">HYPERLINK("https://mncourtfraud.com/file/27-CR-19-12466.pdf","27-CR-19-12466")</f>
        <v>27-CR-19-12466</v>
      </c>
      <c r="D103" s="3" t="s">
        <v>334</v>
      </c>
      <c r="E103" s="8" t="str">
        <f aca="false">HYPERLINK("https://mncourtfraud.com/file/MCRO_27-CR-19-12466_Notice of Case Reassignment_2021-03-30_20240430091837.pdf","MCRO_27-CR-19-12466_Notice of Case Reassignment_2021-03-30_20240430091837.pdf")</f>
        <v>MCRO_27-CR-19-12466_Notice of Case Reassignment_2021-03-30_20240430091837.pdf</v>
      </c>
      <c r="F103" s="1" t="s">
        <v>1097</v>
      </c>
      <c r="G103" s="9" t="n">
        <v>44285</v>
      </c>
      <c r="H103" s="1" t="n">
        <v>6</v>
      </c>
    </row>
    <row r="104" customFormat="false" ht="18.7" hidden="false" customHeight="true" outlineLevel="0" collapsed="false">
      <c r="A104" s="1" t="n">
        <v>103</v>
      </c>
      <c r="B104" s="7" t="str">
        <f aca="false">HYPERLINK("https://mncourtfraud.com/file/TJ-33.zip","TJ-33.zip")</f>
        <v>TJ-33.zip</v>
      </c>
      <c r="C104" s="8" t="str">
        <f aca="false">HYPERLINK("https://mncourtfraud.com/file/27-CR-19-12466.pdf","27-CR-19-12466")</f>
        <v>27-CR-19-12466</v>
      </c>
      <c r="D104" s="3" t="s">
        <v>334</v>
      </c>
      <c r="E104" s="8" t="str">
        <f aca="false">HYPERLINK("https://mncourtfraud.com/file/MCRO_27-CR-19-12466_Notice of Case Reassignment_2022-04-01_20240430091824.pdf","MCRO_27-CR-19-12466_Notice of Case Reassignment_2022-04-01_20240430091824.pdf")</f>
        <v>MCRO_27-CR-19-12466_Notice of Case Reassignment_2022-04-01_20240430091824.pdf</v>
      </c>
      <c r="F104" s="1" t="s">
        <v>1098</v>
      </c>
      <c r="G104" s="9" t="n">
        <v>44652</v>
      </c>
      <c r="H104" s="1" t="n">
        <v>6</v>
      </c>
    </row>
    <row r="105" customFormat="false" ht="18.7" hidden="false" customHeight="true" outlineLevel="0" collapsed="false">
      <c r="A105" s="1" t="n">
        <v>104</v>
      </c>
      <c r="B105" s="7" t="str">
        <f aca="false">HYPERLINK("https://mncourtfraud.com/file/TJ-33.zip","TJ-33.zip")</f>
        <v>TJ-33.zip</v>
      </c>
      <c r="C105" s="8" t="str">
        <f aca="false">HYPERLINK("https://mncourtfraud.com/file/27-CR-19-19606.pdf","27-CR-19-19606")</f>
        <v>27-CR-19-19606</v>
      </c>
      <c r="D105" s="3" t="s">
        <v>334</v>
      </c>
      <c r="E105" s="8" t="str">
        <f aca="false">HYPERLINK("https://mncourtfraud.com/file/MCRO_27-CR-19-19606_Notice of Case Reassignment_2022-04-01_20240430092042.pdf","MCRO_27-CR-19-19606_Notice of Case Reassignment_2022-04-01_20240430092042.pdf")</f>
        <v>MCRO_27-CR-19-19606_Notice of Case Reassignment_2022-04-01_20240430092042.pdf</v>
      </c>
      <c r="F105" s="1" t="s">
        <v>1099</v>
      </c>
      <c r="G105" s="9" t="n">
        <v>44652</v>
      </c>
      <c r="H105" s="1" t="n">
        <v>6</v>
      </c>
    </row>
    <row r="106" customFormat="false" ht="18.7" hidden="false" customHeight="true" outlineLevel="0" collapsed="false">
      <c r="A106" s="1" t="n">
        <v>105</v>
      </c>
      <c r="B106" s="7" t="str">
        <f aca="false">HYPERLINK("https://mncourtfraud.com/file/TJ-33.zip","TJ-33.zip")</f>
        <v>TJ-33.zip</v>
      </c>
      <c r="C106" s="8" t="str">
        <f aca="false">HYPERLINK("https://mncourtfraud.com/file/27-CR-20-20037.pdf","27-CR-20-20037")</f>
        <v>27-CR-20-20037</v>
      </c>
      <c r="D106" s="3" t="s">
        <v>334</v>
      </c>
      <c r="E106" s="8" t="str">
        <f aca="false">HYPERLINK("https://mncourtfraud.com/file/MCRO_27-CR-20-20037_Notice of Case Reassignment_2022-04-01_20240430090140.pdf","MCRO_27-CR-20-20037_Notice of Case Reassignment_2022-04-01_20240430090140.pdf")</f>
        <v>MCRO_27-CR-20-20037_Notice of Case Reassignment_2022-04-01_20240430090140.pdf</v>
      </c>
      <c r="F106" s="1" t="s">
        <v>1100</v>
      </c>
      <c r="G106" s="9" t="n">
        <v>44652</v>
      </c>
      <c r="H106" s="1" t="n">
        <v>6</v>
      </c>
    </row>
    <row r="107" customFormat="false" ht="18.7" hidden="false" customHeight="true" outlineLevel="0" collapsed="false">
      <c r="A107" s="1" t="n">
        <v>106</v>
      </c>
      <c r="B107" s="7" t="str">
        <f aca="false">HYPERLINK("https://mncourtfraud.com/file/TJ-33.zip","TJ-33.zip")</f>
        <v>TJ-33.zip</v>
      </c>
      <c r="C107" s="8" t="str">
        <f aca="false">HYPERLINK("https://mncourtfraud.com/file/27-CR-20-8926.pdf","27-CR-20-8926")</f>
        <v>27-CR-20-8926</v>
      </c>
      <c r="D107" s="3" t="s">
        <v>334</v>
      </c>
      <c r="E107" s="8" t="str">
        <f aca="false">HYPERLINK("https://mncourtfraud.com/file/MCRO_27-CR-20-8926_Notice of Case Reassignment_2022-04-01_20240430085437.pdf","MCRO_27-CR-20-8926_Notice of Case Reassignment_2022-04-01_20240430085437.pdf")</f>
        <v>MCRO_27-CR-20-8926_Notice of Case Reassignment_2022-04-01_20240430085437.pdf</v>
      </c>
      <c r="F107" s="1" t="s">
        <v>1101</v>
      </c>
      <c r="G107" s="9" t="n">
        <v>44652</v>
      </c>
      <c r="H107" s="1" t="n">
        <v>6</v>
      </c>
    </row>
    <row r="108" customFormat="false" ht="18.7" hidden="false" customHeight="true" outlineLevel="0" collapsed="false">
      <c r="A108" s="1" t="n">
        <v>107</v>
      </c>
      <c r="B108" s="7" t="str">
        <f aca="false">HYPERLINK("https://mncourtfraud.com/file/TJ-33.zip","TJ-33.zip")</f>
        <v>TJ-33.zip</v>
      </c>
      <c r="C108" s="8" t="str">
        <f aca="false">HYPERLINK("https://mncourtfraud.com/file/27-CR-21-19552.pdf","27-CR-21-19552")</f>
        <v>27-CR-21-19552</v>
      </c>
      <c r="D108" s="3" t="s">
        <v>334</v>
      </c>
      <c r="E108" s="8" t="str">
        <f aca="false">HYPERLINK("https://mncourtfraud.com/file/MCRO_27-CR-21-19552_Notice of Case Reassignment_2022-04-01_20240430082843.pdf","MCRO_27-CR-21-19552_Notice of Case Reassignment_2022-04-01_20240430082843.pdf")</f>
        <v>MCRO_27-CR-21-19552_Notice of Case Reassignment_2022-04-01_20240430082843.pdf</v>
      </c>
      <c r="F108" s="1" t="s">
        <v>1102</v>
      </c>
      <c r="G108" s="9" t="n">
        <v>44652</v>
      </c>
      <c r="H108" s="1" t="n">
        <v>6</v>
      </c>
    </row>
    <row r="109" customFormat="false" ht="18.7" hidden="false" customHeight="true" outlineLevel="0" collapsed="false">
      <c r="A109" s="1" t="n">
        <v>108</v>
      </c>
      <c r="B109" s="7" t="str">
        <f aca="false">HYPERLINK("https://mncourtfraud.com/file/TJ-33.zip","TJ-33.zip")</f>
        <v>TJ-33.zip</v>
      </c>
      <c r="C109" s="8" t="str">
        <f aca="false">HYPERLINK("https://mncourtfraud.com/file/27-CR-21-23233.pdf","27-CR-21-23233")</f>
        <v>27-CR-21-23233</v>
      </c>
      <c r="D109" s="3" t="s">
        <v>334</v>
      </c>
      <c r="E109" s="8" t="str">
        <f aca="false">HYPERLINK("https://mncourtfraud.com/file/MCRO_27-CR-21-23233_Notice of Case Reassignment_2022-04-01_20240430084222.pdf","MCRO_27-CR-21-23233_Notice of Case Reassignment_2022-04-01_20240430084222.pdf")</f>
        <v>MCRO_27-CR-21-23233_Notice of Case Reassignment_2022-04-01_20240430084222.pdf</v>
      </c>
      <c r="F109" s="1" t="s">
        <v>1103</v>
      </c>
      <c r="G109" s="9" t="n">
        <v>44652</v>
      </c>
      <c r="H109" s="1" t="n">
        <v>6</v>
      </c>
    </row>
    <row r="110" customFormat="false" ht="18.7" hidden="false" customHeight="true" outlineLevel="0" collapsed="false">
      <c r="A110" s="1" t="n">
        <v>109</v>
      </c>
      <c r="B110" s="7" t="str">
        <f aca="false">HYPERLINK("https://mncourtfraud.com/file/TJ-33.zip","TJ-33.zip")</f>
        <v>TJ-33.zip</v>
      </c>
      <c r="C110" s="8" t="str">
        <f aca="false">HYPERLINK("https://mncourtfraud.com/file/27-CR-19-12466.pdf","27-CR-19-12466")</f>
        <v>27-CR-19-12466</v>
      </c>
      <c r="D110" s="3" t="s">
        <v>334</v>
      </c>
      <c r="E110" s="8" t="str">
        <f aca="false">HYPERLINK("https://mncourtfraud.com/file/MCRO_27-CR-19-12466_Notice of Case Reassignment_2023-01-13_20240430091816.pdf","MCRO_27-CR-19-12466_Notice of Case Reassignment_2023-01-13_20240430091816.pdf")</f>
        <v>MCRO_27-CR-19-12466_Notice of Case Reassignment_2023-01-13_20240430091816.pdf</v>
      </c>
      <c r="F110" s="1" t="s">
        <v>1104</v>
      </c>
      <c r="G110" s="9" t="n">
        <v>44939</v>
      </c>
      <c r="H110" s="1" t="n">
        <v>5</v>
      </c>
    </row>
    <row r="111" customFormat="false" ht="18.7" hidden="false" customHeight="true" outlineLevel="0" collapsed="false">
      <c r="A111" s="1" t="n">
        <v>110</v>
      </c>
      <c r="B111" s="7" t="str">
        <f aca="false">HYPERLINK("https://mncourtfraud.com/file/TJ-33.zip","TJ-33.zip")</f>
        <v>TJ-33.zip</v>
      </c>
      <c r="C111" s="8" t="str">
        <f aca="false">HYPERLINK("https://mncourtfraud.com/file/27-CR-19-19606.pdf","27-CR-19-19606")</f>
        <v>27-CR-19-19606</v>
      </c>
      <c r="D111" s="3" t="s">
        <v>334</v>
      </c>
      <c r="E111" s="8" t="str">
        <f aca="false">HYPERLINK("https://mncourtfraud.com/file/MCRO_27-CR-19-19606_Notice of Case Reassignment_2023-01-13_20240430092035.pdf","MCRO_27-CR-19-19606_Notice of Case Reassignment_2023-01-13_20240430092035.pdf")</f>
        <v>MCRO_27-CR-19-19606_Notice of Case Reassignment_2023-01-13_20240430092035.pdf</v>
      </c>
      <c r="F111" s="1" t="s">
        <v>1105</v>
      </c>
      <c r="G111" s="9" t="n">
        <v>44939</v>
      </c>
      <c r="H111" s="1" t="n">
        <v>5</v>
      </c>
    </row>
    <row r="112" customFormat="false" ht="18.7" hidden="false" customHeight="true" outlineLevel="0" collapsed="false">
      <c r="A112" s="1" t="n">
        <v>111</v>
      </c>
      <c r="B112" s="7" t="str">
        <f aca="false">HYPERLINK("https://mncourtfraud.com/file/TJ-33.zip","TJ-33.zip")</f>
        <v>TJ-33.zip</v>
      </c>
      <c r="C112" s="8" t="str">
        <f aca="false">HYPERLINK("https://mncourtfraud.com/file/27-CR-20-20037.pdf","27-CR-20-20037")</f>
        <v>27-CR-20-20037</v>
      </c>
      <c r="D112" s="3" t="s">
        <v>334</v>
      </c>
      <c r="E112" s="8" t="str">
        <f aca="false">HYPERLINK("https://mncourtfraud.com/file/MCRO_27-CR-20-20037_Notice of Case Reassignment_2023-01-13_20240430090134.pdf","MCRO_27-CR-20-20037_Notice of Case Reassignment_2023-01-13_20240430090134.pdf")</f>
        <v>MCRO_27-CR-20-20037_Notice of Case Reassignment_2023-01-13_20240430090134.pdf</v>
      </c>
      <c r="F112" s="1" t="s">
        <v>1106</v>
      </c>
      <c r="G112" s="9" t="n">
        <v>44939</v>
      </c>
      <c r="H112" s="1" t="n">
        <v>5</v>
      </c>
    </row>
    <row r="113" customFormat="false" ht="18.7" hidden="false" customHeight="true" outlineLevel="0" collapsed="false">
      <c r="A113" s="1" t="n">
        <v>112</v>
      </c>
      <c r="B113" s="7" t="str">
        <f aca="false">HYPERLINK("https://mncourtfraud.com/file/TJ-33.zip","TJ-33.zip")</f>
        <v>TJ-33.zip</v>
      </c>
      <c r="C113" s="8" t="str">
        <f aca="false">HYPERLINK("https://mncourtfraud.com/file/27-CR-20-8926.pdf","27-CR-20-8926")</f>
        <v>27-CR-20-8926</v>
      </c>
      <c r="D113" s="3" t="s">
        <v>334</v>
      </c>
      <c r="E113" s="8" t="str">
        <f aca="false">HYPERLINK("https://mncourtfraud.com/file/MCRO_27-CR-20-8926_Notice of Case Reassignment_2023-01-13_20240430085431.pdf","MCRO_27-CR-20-8926_Notice of Case Reassignment_2023-01-13_20240430085431.pdf")</f>
        <v>MCRO_27-CR-20-8926_Notice of Case Reassignment_2023-01-13_20240430085431.pdf</v>
      </c>
      <c r="F113" s="1" t="s">
        <v>1107</v>
      </c>
      <c r="G113" s="9" t="n">
        <v>44939</v>
      </c>
      <c r="H113" s="1" t="n">
        <v>5</v>
      </c>
    </row>
    <row r="114" customFormat="false" ht="18.7" hidden="false" customHeight="true" outlineLevel="0" collapsed="false">
      <c r="A114" s="1" t="n">
        <v>113</v>
      </c>
      <c r="B114" s="7" t="str">
        <f aca="false">HYPERLINK("https://mncourtfraud.com/file/TJ-33.zip","TJ-33.zip")</f>
        <v>TJ-33.zip</v>
      </c>
      <c r="C114" s="8" t="str">
        <f aca="false">HYPERLINK("https://mncourtfraud.com/file/27-CR-21-19552.pdf","27-CR-21-19552")</f>
        <v>27-CR-21-19552</v>
      </c>
      <c r="D114" s="3" t="s">
        <v>334</v>
      </c>
      <c r="E114" s="8" t="str">
        <f aca="false">HYPERLINK("https://mncourtfraud.com/file/MCRO_27-CR-21-19552_Notice of Case Reassignment_2023-01-13_20240430082837.pdf","MCRO_27-CR-21-19552_Notice of Case Reassignment_2023-01-13_20240430082837.pdf")</f>
        <v>MCRO_27-CR-21-19552_Notice of Case Reassignment_2023-01-13_20240430082837.pdf</v>
      </c>
      <c r="F114" s="1" t="s">
        <v>1108</v>
      </c>
      <c r="G114" s="9" t="n">
        <v>44939</v>
      </c>
      <c r="H114" s="1" t="n">
        <v>5</v>
      </c>
    </row>
    <row r="115" customFormat="false" ht="18.7" hidden="false" customHeight="true" outlineLevel="0" collapsed="false">
      <c r="A115" s="1" t="n">
        <v>114</v>
      </c>
      <c r="B115" s="7" t="str">
        <f aca="false">HYPERLINK("https://mncourtfraud.com/file/TJ-33.zip","TJ-33.zip")</f>
        <v>TJ-33.zip</v>
      </c>
      <c r="C115" s="8" t="str">
        <f aca="false">HYPERLINK("https://mncourtfraud.com/file/27-CR-21-23233.pdf","27-CR-21-23233")</f>
        <v>27-CR-21-23233</v>
      </c>
      <c r="D115" s="3" t="s">
        <v>334</v>
      </c>
      <c r="E115" s="8" t="str">
        <f aca="false">HYPERLINK("https://mncourtfraud.com/file/MCRO_27-CR-21-23233_Notice of Case Reassignment_2023-01-13_20240430084216.pdf","MCRO_27-CR-21-23233_Notice of Case Reassignment_2023-01-13_20240430084216.pdf")</f>
        <v>MCRO_27-CR-21-23233_Notice of Case Reassignment_2023-01-13_20240430084216.pdf</v>
      </c>
      <c r="F115" s="1" t="s">
        <v>1109</v>
      </c>
      <c r="G115" s="9" t="n">
        <v>44939</v>
      </c>
      <c r="H115" s="1" t="n">
        <v>5</v>
      </c>
    </row>
    <row r="116" customFormat="false" ht="18.7" hidden="false" customHeight="true" outlineLevel="0" collapsed="false">
      <c r="A116" s="1" t="n">
        <v>115</v>
      </c>
      <c r="B116" s="7" t="str">
        <f aca="false">HYPERLINK("https://mncourtfraud.com/file/TJ-33.zip","TJ-33.zip")</f>
        <v>TJ-33.zip</v>
      </c>
      <c r="C116" s="8" t="str">
        <f aca="false">HYPERLINK("https://mncourtfraud.com/file/27-CR-19-12466.pdf","27-CR-19-12466")</f>
        <v>27-CR-19-12466</v>
      </c>
      <c r="D116" s="3" t="s">
        <v>334</v>
      </c>
      <c r="E116" s="8" t="str">
        <f aca="false">HYPERLINK("https://mncourtfraud.com/file/MCRO_27-CR-19-12466_Notice of Case Reassignment_2020-01-03_20240430091850.pdf","MCRO_27-CR-19-12466_Notice of Case Reassignment_2020-01-03_20240430091850.pdf")</f>
        <v>MCRO_27-CR-19-12466_Notice of Case Reassignment_2020-01-03_20240430091850.pdf</v>
      </c>
      <c r="F116" s="1" t="s">
        <v>1110</v>
      </c>
      <c r="G116" s="9" t="n">
        <v>43833</v>
      </c>
      <c r="H116" s="1" t="n">
        <v>4</v>
      </c>
    </row>
    <row r="117" customFormat="false" ht="18.7" hidden="false" customHeight="true" outlineLevel="0" collapsed="false">
      <c r="A117" s="1" t="n">
        <v>116</v>
      </c>
      <c r="B117" s="7" t="str">
        <f aca="false">HYPERLINK("https://mncourtfraud.com/file/TJ-33.zip","TJ-33.zip")</f>
        <v>TJ-33.zip</v>
      </c>
      <c r="C117" s="8" t="str">
        <f aca="false">HYPERLINK("https://mncourtfraud.com/file/27-CR-20-8926.pdf","27-CR-20-8926")</f>
        <v>27-CR-20-8926</v>
      </c>
      <c r="D117" s="3" t="s">
        <v>334</v>
      </c>
      <c r="E117" s="8" t="str">
        <f aca="false">HYPERLINK("https://mncourtfraud.com/file/MCRO_27-CR-20-8926_Returned Mail_2020-04-17_20240430085455.pdf","MCRO_27-CR-20-8926_Returned Mail_2020-04-17_20240430085455.pdf")</f>
        <v>MCRO_27-CR-20-8926_Returned Mail_2020-04-17_20240430085455.pdf</v>
      </c>
      <c r="F117" s="1" t="s">
        <v>1111</v>
      </c>
      <c r="G117" s="9" t="n">
        <v>43938</v>
      </c>
      <c r="H117" s="1" t="n">
        <v>4</v>
      </c>
    </row>
    <row r="118" customFormat="false" ht="18.7" hidden="false" customHeight="true" outlineLevel="0" collapsed="false">
      <c r="A118" s="1" t="n">
        <v>117</v>
      </c>
      <c r="B118" s="7" t="str">
        <f aca="false">HYPERLINK("https://mncourtfraud.com/file/TJ-33.zip","TJ-33.zip")</f>
        <v>TJ-33.zip</v>
      </c>
      <c r="C118" s="8" t="str">
        <f aca="false">HYPERLINK("https://mncourtfraud.com/file/27-CR-19-12466.pdf","27-CR-19-12466")</f>
        <v>27-CR-19-12466</v>
      </c>
      <c r="D118" s="3" t="s">
        <v>334</v>
      </c>
      <c r="E118" s="8" t="str">
        <f aca="false">HYPERLINK("https://mncourtfraud.com/file/MCRO_27-CR-19-12466_Notice of Appearance_2022-03-08_20240430091826.pdf","MCRO_27-CR-19-12466_Notice of Appearance_2022-03-08_20240430091826.pdf")</f>
        <v>MCRO_27-CR-19-12466_Notice of Appearance_2022-03-08_20240430091826.pdf</v>
      </c>
      <c r="F118" s="1" t="s">
        <v>400</v>
      </c>
      <c r="G118" s="9" t="n">
        <v>44628</v>
      </c>
      <c r="H118" s="1" t="n">
        <v>2</v>
      </c>
    </row>
    <row r="119" customFormat="false" ht="18.7" hidden="false" customHeight="true" outlineLevel="0" collapsed="false">
      <c r="A119" s="1" t="n">
        <v>118</v>
      </c>
      <c r="B119" s="7" t="str">
        <f aca="false">HYPERLINK("https://mncourtfraud.com/file/TJ-33.zip","TJ-33.zip")</f>
        <v>TJ-33.zip</v>
      </c>
      <c r="C119" s="8" t="str">
        <f aca="false">HYPERLINK("https://mncourtfraud.com/file/27-CR-19-19606.pdf","27-CR-19-19606")</f>
        <v>27-CR-19-19606</v>
      </c>
      <c r="D119" s="3" t="s">
        <v>334</v>
      </c>
      <c r="E119" s="8" t="str">
        <f aca="false">HYPERLINK("https://mncourtfraud.com/file/MCRO_27-CR-19-19606_Notice of Appearance_2022-03-08_20240430092044.pdf","MCRO_27-CR-19-19606_Notice of Appearance_2022-03-08_20240430092044.pdf")</f>
        <v>MCRO_27-CR-19-19606_Notice of Appearance_2022-03-08_20240430092044.pdf</v>
      </c>
      <c r="F119" s="1" t="s">
        <v>400</v>
      </c>
      <c r="G119" s="9" t="n">
        <v>44628</v>
      </c>
      <c r="H119" s="1" t="n">
        <v>2</v>
      </c>
    </row>
    <row r="120" customFormat="false" ht="18.7" hidden="false" customHeight="true" outlineLevel="0" collapsed="false">
      <c r="A120" s="1" t="n">
        <v>119</v>
      </c>
      <c r="B120" s="7" t="str">
        <f aca="false">HYPERLINK("https://mncourtfraud.com/file/TJ-33.zip","TJ-33.zip")</f>
        <v>TJ-33.zip</v>
      </c>
      <c r="C120" s="8" t="str">
        <f aca="false">HYPERLINK("https://mncourtfraud.com/file/27-CR-20-20037.pdf","27-CR-20-20037")</f>
        <v>27-CR-20-20037</v>
      </c>
      <c r="D120" s="3" t="s">
        <v>334</v>
      </c>
      <c r="E120" s="8" t="str">
        <f aca="false">HYPERLINK("https://mncourtfraud.com/file/MCRO_27-CR-20-20037_Notice of Appearance_2022-03-08_20240430090142.pdf","MCRO_27-CR-20-20037_Notice of Appearance_2022-03-08_20240430090142.pdf")</f>
        <v>MCRO_27-CR-20-20037_Notice of Appearance_2022-03-08_20240430090142.pdf</v>
      </c>
      <c r="F120" s="1" t="s">
        <v>400</v>
      </c>
      <c r="G120" s="9" t="n">
        <v>44628</v>
      </c>
      <c r="H120" s="1" t="n">
        <v>2</v>
      </c>
    </row>
    <row r="121" customFormat="false" ht="18.7" hidden="false" customHeight="true" outlineLevel="0" collapsed="false">
      <c r="A121" s="1" t="n">
        <v>120</v>
      </c>
      <c r="B121" s="7" t="str">
        <f aca="false">HYPERLINK("https://mncourtfraud.com/file/TJ-33.zip","TJ-33.zip")</f>
        <v>TJ-33.zip</v>
      </c>
      <c r="C121" s="8" t="str">
        <f aca="false">HYPERLINK("https://mncourtfraud.com/file/27-CR-20-8926.pdf","27-CR-20-8926")</f>
        <v>27-CR-20-8926</v>
      </c>
      <c r="D121" s="3" t="s">
        <v>334</v>
      </c>
      <c r="E121" s="8" t="str">
        <f aca="false">HYPERLINK("https://mncourtfraud.com/file/MCRO_27-CR-20-8926_Notice of Appearance_2022-03-08_20240430085440.pdf","MCRO_27-CR-20-8926_Notice of Appearance_2022-03-08_20240430085440.pdf")</f>
        <v>MCRO_27-CR-20-8926_Notice of Appearance_2022-03-08_20240430085440.pdf</v>
      </c>
      <c r="F121" s="1" t="s">
        <v>400</v>
      </c>
      <c r="G121" s="9" t="n">
        <v>44628</v>
      </c>
      <c r="H121" s="1" t="n">
        <v>2</v>
      </c>
    </row>
    <row r="122" customFormat="false" ht="18.7" hidden="false" customHeight="true" outlineLevel="0" collapsed="false">
      <c r="A122" s="1" t="n">
        <v>121</v>
      </c>
      <c r="B122" s="7" t="str">
        <f aca="false">HYPERLINK("https://mncourtfraud.com/file/TJ-33.zip","TJ-33.zip")</f>
        <v>TJ-33.zip</v>
      </c>
      <c r="C122" s="8" t="str">
        <f aca="false">HYPERLINK("https://mncourtfraud.com/file/27-CR-21-19552.pdf","27-CR-21-19552")</f>
        <v>27-CR-21-19552</v>
      </c>
      <c r="D122" s="3" t="s">
        <v>334</v>
      </c>
      <c r="E122" s="8" t="str">
        <f aca="false">HYPERLINK("https://mncourtfraud.com/file/MCRO_27-CR-21-19552_Notice of Appearance_2022-03-08_20240430082846.pdf","MCRO_27-CR-21-19552_Notice of Appearance_2022-03-08_20240430082846.pdf")</f>
        <v>MCRO_27-CR-21-19552_Notice of Appearance_2022-03-08_20240430082846.pdf</v>
      </c>
      <c r="F122" s="1" t="s">
        <v>400</v>
      </c>
      <c r="G122" s="9" t="n">
        <v>44628</v>
      </c>
      <c r="H122" s="1" t="n">
        <v>2</v>
      </c>
    </row>
    <row r="123" customFormat="false" ht="18.7" hidden="false" customHeight="true" outlineLevel="0" collapsed="false">
      <c r="A123" s="1" t="n">
        <v>122</v>
      </c>
      <c r="B123" s="7" t="str">
        <f aca="false">HYPERLINK("https://mncourtfraud.com/file/TJ-33.zip","TJ-33.zip")</f>
        <v>TJ-33.zip</v>
      </c>
      <c r="C123" s="8" t="str">
        <f aca="false">HYPERLINK("https://mncourtfraud.com/file/27-CR-21-23233.pdf","27-CR-21-23233")</f>
        <v>27-CR-21-23233</v>
      </c>
      <c r="D123" s="3" t="s">
        <v>334</v>
      </c>
      <c r="E123" s="8" t="str">
        <f aca="false">HYPERLINK("https://mncourtfraud.com/file/MCRO_27-CR-21-23233_Notice of Appearance_2022-03-08_20240430084224.pdf","MCRO_27-CR-21-23233_Notice of Appearance_2022-03-08_20240430084224.pdf")</f>
        <v>MCRO_27-CR-21-23233_Notice of Appearance_2022-03-08_20240430084224.pdf</v>
      </c>
      <c r="F123" s="1" t="s">
        <v>400</v>
      </c>
      <c r="G123" s="9" t="n">
        <v>44628</v>
      </c>
      <c r="H123" s="1" t="n">
        <v>2</v>
      </c>
    </row>
    <row r="124" customFormat="false" ht="18.7" hidden="false" customHeight="true" outlineLevel="0" collapsed="false">
      <c r="A124" s="1" t="n">
        <v>123</v>
      </c>
      <c r="B124" s="7" t="str">
        <f aca="false">HYPERLINK("https://mncourtfraud.com/file/TJ-33.zip","TJ-33.zip")</f>
        <v>TJ-33.zip</v>
      </c>
      <c r="C124" s="8" t="str">
        <f aca="false">HYPERLINK("https://mncourtfraud.com/file/27-CR-22-1165.pdf","27-CR-22-1165")</f>
        <v>27-CR-22-1165</v>
      </c>
      <c r="D124" s="3" t="s">
        <v>334</v>
      </c>
      <c r="E124" s="8" t="str">
        <f aca="false">HYPERLINK("https://mncourtfraud.com/file/MCRO_27-CR-22-1165_Notice of Appearance_2022-03-08_20240429030435.pdf","MCRO_27-CR-22-1165_Notice of Appearance_2022-03-08_20240429030435.pdf")</f>
        <v>MCRO_27-CR-22-1165_Notice of Appearance_2022-03-08_20240429030435.pdf</v>
      </c>
      <c r="F124" s="1" t="s">
        <v>400</v>
      </c>
      <c r="G124" s="9" t="n">
        <v>44628</v>
      </c>
      <c r="H124" s="1" t="n">
        <v>2</v>
      </c>
    </row>
    <row r="125" customFormat="false" ht="18.7" hidden="false" customHeight="true" outlineLevel="0" collapsed="false">
      <c r="A125" s="1" t="n">
        <v>124</v>
      </c>
      <c r="B125" s="7" t="str">
        <f aca="false">HYPERLINK("https://mncourtfraud.com/file/TJ-33.zip","TJ-33.zip")</f>
        <v>TJ-33.zip</v>
      </c>
      <c r="C125" s="8" t="str">
        <f aca="false">HYPERLINK("https://mncourtfraud.com/file/27-CR-19-12466.pdf","27-CR-19-12466")</f>
        <v>27-CR-19-12466</v>
      </c>
      <c r="D125" s="3" t="s">
        <v>334</v>
      </c>
      <c r="E125" s="8" t="str">
        <f aca="false">HYPERLINK("https://mncourtfraud.com/file/MCRO_27-CR-19-12466_Notice of Hearing_2020-09-09_20240430091841.pdf","MCRO_27-CR-19-12466_Notice of Hearing_2020-09-09_20240430091841.pdf")</f>
        <v>MCRO_27-CR-19-12466_Notice of Hearing_2020-09-09_20240430091841.pdf</v>
      </c>
      <c r="F125" s="1" t="s">
        <v>1112</v>
      </c>
      <c r="G125" s="9" t="n">
        <v>44083</v>
      </c>
      <c r="H125" s="1" t="n">
        <v>1</v>
      </c>
    </row>
    <row r="126" customFormat="false" ht="18.7" hidden="false" customHeight="true" outlineLevel="0" collapsed="false">
      <c r="A126" s="1" t="n">
        <v>125</v>
      </c>
      <c r="B126" s="7" t="str">
        <f aca="false">HYPERLINK("https://mncourtfraud.com/file/TJ-33.zip","TJ-33.zip")</f>
        <v>TJ-33.zip</v>
      </c>
      <c r="C126" s="8" t="str">
        <f aca="false">HYPERLINK("https://mncourtfraud.com/file/27-CR-19-12466.pdf","27-CR-19-12466")</f>
        <v>27-CR-19-12466</v>
      </c>
      <c r="D126" s="3" t="s">
        <v>334</v>
      </c>
      <c r="E126" s="8" t="str">
        <f aca="false">HYPERLINK("https://mncourtfraud.com/file/MCRO_27-CR-19-12466_Petition to Proceed as ProSe Counsel_2020-09-09_20240430091840.pdf","MCRO_27-CR-19-12466_Petition to Proceed as ProSe Counsel_2020-09-09_20240430091840.pdf")</f>
        <v>MCRO_27-CR-19-12466_Petition to Proceed as ProSe Counsel_2020-09-09_20240430091840.pdf</v>
      </c>
      <c r="F126" s="1" t="s">
        <v>371</v>
      </c>
      <c r="G126" s="9" t="n">
        <v>44083</v>
      </c>
      <c r="H126" s="1" t="n">
        <v>1</v>
      </c>
    </row>
    <row r="127" customFormat="false" ht="18.7" hidden="false" customHeight="true" outlineLevel="0" collapsed="false">
      <c r="A127" s="1" t="n">
        <v>126</v>
      </c>
      <c r="B127" s="7" t="str">
        <f aca="false">HYPERLINK("https://mncourtfraud.com/file/TJ-33.zip","TJ-33.zip")</f>
        <v>TJ-33.zip</v>
      </c>
      <c r="C127" s="8" t="str">
        <f aca="false">HYPERLINK("https://mncourtfraud.com/file/27-CR-19-19606.pdf","27-CR-19-19606")</f>
        <v>27-CR-19-19606</v>
      </c>
      <c r="D127" s="3" t="s">
        <v>334</v>
      </c>
      <c r="E127" s="8" t="str">
        <f aca="false">HYPERLINK("https://mncourtfraud.com/file/MCRO_27-CR-19-19606_Petition to Proceed as ProSe Counsel_2020-09-09_20240430092056.pdf","MCRO_27-CR-19-19606_Petition to Proceed as ProSe Counsel_2020-09-09_20240430092056.pdf")</f>
        <v>MCRO_27-CR-19-19606_Petition to Proceed as ProSe Counsel_2020-09-09_20240430092056.pdf</v>
      </c>
      <c r="F127" s="1" t="s">
        <v>371</v>
      </c>
      <c r="G127" s="9" t="n">
        <v>44083</v>
      </c>
      <c r="H127" s="1" t="n">
        <v>1</v>
      </c>
    </row>
    <row r="128" customFormat="false" ht="18.7" hidden="false" customHeight="true" outlineLevel="0" collapsed="false">
      <c r="A128" s="1" t="n">
        <v>127</v>
      </c>
      <c r="B128" s="7" t="str">
        <f aca="false">HYPERLINK("https://mncourtfraud.com/file/TJ-33.zip","TJ-33.zip")</f>
        <v>TJ-33.zip</v>
      </c>
      <c r="C128" s="8" t="str">
        <f aca="false">HYPERLINK("https://mncourtfraud.com/file/27-CR-20-8926.pdf","27-CR-20-8926")</f>
        <v>27-CR-20-8926</v>
      </c>
      <c r="D128" s="3" t="s">
        <v>334</v>
      </c>
      <c r="E128" s="8" t="str">
        <f aca="false">HYPERLINK("https://mncourtfraud.com/file/MCRO_27-CR-20-8926_Petition to Proceed as ProSe Counsel_2020-09-09_20240430085448.pdf","MCRO_27-CR-20-8926_Petition to Proceed as ProSe Counsel_2020-09-09_20240430085448.pdf")</f>
        <v>MCRO_27-CR-20-8926_Petition to Proceed as ProSe Counsel_2020-09-09_20240430085448.pdf</v>
      </c>
      <c r="F128" s="1" t="s">
        <v>371</v>
      </c>
      <c r="G128" s="9" t="n">
        <v>44083</v>
      </c>
      <c r="H128" s="1" t="n">
        <v>1</v>
      </c>
    </row>
    <row r="129" customFormat="false" ht="18.7" hidden="false" customHeight="true" outlineLevel="0" collapsed="false">
      <c r="A129" s="1" t="n">
        <v>128</v>
      </c>
      <c r="B129" s="7" t="str">
        <f aca="false">HYPERLINK("https://mncourtfraud.com/file/TJ-33.zip","TJ-33.zip")</f>
        <v>TJ-33.zip</v>
      </c>
      <c r="C129" s="8" t="str">
        <f aca="false">HYPERLINK("https://mncourtfraud.com/file/27-CR-19-12466.pdf","27-CR-19-12466")</f>
        <v>27-CR-19-12466</v>
      </c>
      <c r="D129" s="3" t="s">
        <v>334</v>
      </c>
      <c r="E129" s="8" t="str">
        <f aca="false">HYPERLINK("https://mncourtfraud.com/file/MCRO_27-CR-19-12466_Notice of Remote Hearing with Instructions_2024-03-05_20240430091810.pdf","MCRO_27-CR-19-12466_Notice of Remote Hearing with Instructions_2024-03-05_20240430091810.pdf")</f>
        <v>MCRO_27-CR-19-12466_Notice of Remote Hearing with Instructions_2024-03-05_20240430091810.pdf</v>
      </c>
      <c r="F129" s="1" t="s">
        <v>456</v>
      </c>
      <c r="G129" s="9" t="n">
        <v>45356</v>
      </c>
      <c r="H129" s="1" t="n">
        <v>1</v>
      </c>
    </row>
    <row r="130" customFormat="false" ht="18.7" hidden="false" customHeight="true" outlineLevel="0" collapsed="false">
      <c r="A130" s="1" t="n">
        <v>129</v>
      </c>
      <c r="B130" s="7" t="str">
        <f aca="false">HYPERLINK("https://mncourtfraud.com/file/TJ-33.zip","TJ-33.zip")</f>
        <v>TJ-33.zip</v>
      </c>
      <c r="C130" s="8" t="str">
        <f aca="false">HYPERLINK("https://mncourtfraud.com/file/27-CR-19-19606.pdf","27-CR-19-19606")</f>
        <v>27-CR-19-19606</v>
      </c>
      <c r="D130" s="3" t="s">
        <v>334</v>
      </c>
      <c r="E130" s="8" t="str">
        <f aca="false">HYPERLINK("https://mncourtfraud.com/file/MCRO_27-CR-19-19606_Notice of Remote Hearing with Instructions_2024-03-05_20240430092031.pdf","MCRO_27-CR-19-19606_Notice of Remote Hearing with Instructions_2024-03-05_20240430092031.pdf")</f>
        <v>MCRO_27-CR-19-19606_Notice of Remote Hearing with Instructions_2024-03-05_20240430092031.pdf</v>
      </c>
      <c r="F130" s="1" t="s">
        <v>456</v>
      </c>
      <c r="G130" s="9" t="n">
        <v>45356</v>
      </c>
      <c r="H130" s="1" t="n">
        <v>1</v>
      </c>
    </row>
    <row r="131" customFormat="false" ht="18.7" hidden="false" customHeight="true" outlineLevel="0" collapsed="false">
      <c r="A131" s="1" t="n">
        <v>130</v>
      </c>
      <c r="B131" s="7" t="str">
        <f aca="false">HYPERLINK("https://mncourtfraud.com/file/TJ-33.zip","TJ-33.zip")</f>
        <v>TJ-33.zip</v>
      </c>
      <c r="C131" s="8" t="str">
        <f aca="false">HYPERLINK("https://mncourtfraud.com/file/27-CR-20-20037.pdf","27-CR-20-20037")</f>
        <v>27-CR-20-20037</v>
      </c>
      <c r="D131" s="3" t="s">
        <v>334</v>
      </c>
      <c r="E131" s="8" t="str">
        <f aca="false">HYPERLINK("https://mncourtfraud.com/file/MCRO_27-CR-20-20037_Notice of Remote Hearing with Instructions_2024-03-05_20240430090129.pdf","MCRO_27-CR-20-20037_Notice of Remote Hearing with Instructions_2024-03-05_20240430090129.pdf")</f>
        <v>MCRO_27-CR-20-20037_Notice of Remote Hearing with Instructions_2024-03-05_20240430090129.pdf</v>
      </c>
      <c r="F131" s="1" t="s">
        <v>456</v>
      </c>
      <c r="G131" s="9" t="n">
        <v>45356</v>
      </c>
      <c r="H131" s="1" t="n">
        <v>1</v>
      </c>
    </row>
    <row r="132" customFormat="false" ht="18.7" hidden="false" customHeight="true" outlineLevel="0" collapsed="false">
      <c r="A132" s="1" t="n">
        <v>131</v>
      </c>
      <c r="B132" s="7" t="str">
        <f aca="false">HYPERLINK("https://mncourtfraud.com/file/TJ-33.zip","TJ-33.zip")</f>
        <v>TJ-33.zip</v>
      </c>
      <c r="C132" s="8" t="str">
        <f aca="false">HYPERLINK("https://mncourtfraud.com/file/27-CR-20-8926.pdf","27-CR-20-8926")</f>
        <v>27-CR-20-8926</v>
      </c>
      <c r="D132" s="3" t="s">
        <v>334</v>
      </c>
      <c r="E132" s="8" t="str">
        <f aca="false">HYPERLINK("https://mncourtfraud.com/file/MCRO_27-CR-20-8926_Notice of Remote Hearing with Instructions_2024-03-05_20240430085427.pdf","MCRO_27-CR-20-8926_Notice of Remote Hearing with Instructions_2024-03-05_20240430085427.pdf")</f>
        <v>MCRO_27-CR-20-8926_Notice of Remote Hearing with Instructions_2024-03-05_20240430085427.pdf</v>
      </c>
      <c r="F132" s="1" t="s">
        <v>456</v>
      </c>
      <c r="G132" s="9" t="n">
        <v>45356</v>
      </c>
      <c r="H132" s="1" t="n">
        <v>1</v>
      </c>
    </row>
    <row r="133" customFormat="false" ht="18.7" hidden="false" customHeight="true" outlineLevel="0" collapsed="false">
      <c r="A133" s="1" t="n">
        <v>132</v>
      </c>
      <c r="B133" s="7" t="str">
        <f aca="false">HYPERLINK("https://mncourtfraud.com/file/TJ-33.zip","TJ-33.zip")</f>
        <v>TJ-33.zip</v>
      </c>
      <c r="C133" s="8" t="str">
        <f aca="false">HYPERLINK("https://mncourtfraud.com/file/27-CR-21-19552.pdf","27-CR-21-19552")</f>
        <v>27-CR-21-19552</v>
      </c>
      <c r="D133" s="3" t="s">
        <v>334</v>
      </c>
      <c r="E133" s="8" t="str">
        <f aca="false">HYPERLINK("https://mncourtfraud.com/file/MCRO_27-CR-21-19552_Notice of Remote Hearing with Instructions_2024-03-05_20240430082833.pdf","MCRO_27-CR-21-19552_Notice of Remote Hearing with Instructions_2024-03-05_20240430082833.pdf")</f>
        <v>MCRO_27-CR-21-19552_Notice of Remote Hearing with Instructions_2024-03-05_20240430082833.pdf</v>
      </c>
      <c r="F133" s="1" t="s">
        <v>456</v>
      </c>
      <c r="G133" s="9" t="n">
        <v>45356</v>
      </c>
      <c r="H133" s="1" t="n">
        <v>1</v>
      </c>
    </row>
    <row r="134" customFormat="false" ht="18.7" hidden="false" customHeight="true" outlineLevel="0" collapsed="false">
      <c r="A134" s="1" t="n">
        <v>133</v>
      </c>
      <c r="B134" s="7" t="str">
        <f aca="false">HYPERLINK("https://mncourtfraud.com/file/TJ-33.zip","TJ-33.zip")</f>
        <v>TJ-33.zip</v>
      </c>
      <c r="C134" s="8" t="str">
        <f aca="false">HYPERLINK("https://mncourtfraud.com/file/27-CR-21-23233.pdf","27-CR-21-23233")</f>
        <v>27-CR-21-23233</v>
      </c>
      <c r="D134" s="3" t="s">
        <v>334</v>
      </c>
      <c r="E134" s="8" t="str">
        <f aca="false">HYPERLINK("https://mncourtfraud.com/file/MCRO_27-CR-21-23233_Notice of Remote Hearing with Instructions_2024-03-05_20240430084212.pdf","MCRO_27-CR-21-23233_Notice of Remote Hearing with Instructions_2024-03-05_20240430084212.pdf")</f>
        <v>MCRO_27-CR-21-23233_Notice of Remote Hearing with Instructions_2024-03-05_20240430084212.pdf</v>
      </c>
      <c r="F134" s="1" t="s">
        <v>456</v>
      </c>
      <c r="G134" s="9" t="n">
        <v>45356</v>
      </c>
      <c r="H134" s="1" t="n">
        <v>1</v>
      </c>
    </row>
    <row r="135" customFormat="false" ht="18.7" hidden="false" customHeight="true" outlineLevel="0" collapsed="false">
      <c r="A135" s="1" t="n">
        <v>134</v>
      </c>
      <c r="B135" s="7" t="str">
        <f aca="false">HYPERLINK("https://mncourtfraud.com/file/TJ-33.zip","TJ-33.zip")</f>
        <v>TJ-33.zip</v>
      </c>
      <c r="C135" s="8" t="str">
        <f aca="false">HYPERLINK("https://mncourtfraud.com/file/27-CR-22-1165.pdf","27-CR-22-1165")</f>
        <v>27-CR-22-1165</v>
      </c>
      <c r="D135" s="3" t="s">
        <v>334</v>
      </c>
      <c r="E135" s="8" t="str">
        <f aca="false">HYPERLINK("https://mncourtfraud.com/file/MCRO_27-CR-22-1165_Notice of Remote Hearing with Instructions_2024-03-05_20240429030425.pdf","MCRO_27-CR-22-1165_Notice of Remote Hearing with Instructions_2024-03-05_20240429030425.pdf")</f>
        <v>MCRO_27-CR-22-1165_Notice of Remote Hearing with Instructions_2024-03-05_20240429030425.pdf</v>
      </c>
      <c r="F135" s="1" t="s">
        <v>456</v>
      </c>
      <c r="G135" s="9" t="n">
        <v>45356</v>
      </c>
      <c r="H135" s="1" t="n">
        <v>1</v>
      </c>
    </row>
    <row r="136" customFormat="false" ht="18.7" hidden="false" customHeight="true" outlineLevel="0" collapsed="false">
      <c r="A136" s="1" t="n">
        <v>135</v>
      </c>
      <c r="B136" s="7" t="str">
        <f aca="false">HYPERLINK("https://mncourtfraud.com/file/TJ-33.zip","TJ-33.zip")</f>
        <v>TJ-33.zip</v>
      </c>
      <c r="C136" s="8" t="str">
        <f aca="false">HYPERLINK("https://mncourtfraud.com/file/27-CR-22-4898.pdf","27-CR-22-4898")</f>
        <v>27-CR-22-4898</v>
      </c>
      <c r="D136" s="3" t="s">
        <v>334</v>
      </c>
      <c r="E136" s="8" t="str">
        <f aca="false">HYPERLINK("https://mncourtfraud.com/file/MCRO_27-CR-22-4898_Notice of Remote Hearing with Instructions_2024-03-05_20240429040214.pdf","MCRO_27-CR-22-4898_Notice of Remote Hearing with Instructions_2024-03-05_20240429040214.pdf")</f>
        <v>MCRO_27-CR-22-4898_Notice of Remote Hearing with Instructions_2024-03-05_20240429040214.pdf</v>
      </c>
      <c r="F136" s="1" t="s">
        <v>456</v>
      </c>
      <c r="G136" s="9" t="n">
        <v>45356</v>
      </c>
      <c r="H136" s="1" t="n">
        <v>1</v>
      </c>
    </row>
    <row r="137" customFormat="false" ht="18.7" hidden="false" customHeight="true" outlineLevel="0" collapsed="false">
      <c r="A137" s="1" t="n">
        <v>136</v>
      </c>
      <c r="B137" s="7" t="str">
        <f aca="false">HYPERLINK("https://mncourtfraud.com/file/TJ-33.zip","TJ-33.zip")</f>
        <v>TJ-33.zip</v>
      </c>
      <c r="C137" s="8" t="str">
        <f aca="false">HYPERLINK("https://mncourtfraud.com/file/27-CR-23-8649.pdf","27-CR-23-8649")</f>
        <v>27-CR-23-8649</v>
      </c>
      <c r="D137" s="3" t="s">
        <v>334</v>
      </c>
      <c r="E137" s="8" t="str">
        <f aca="false">HYPERLINK("https://mncourtfraud.com/file/MCRO_27-CR-23-8649_Notice of Remote Hearing with Instructions_2024-03-05_20240430073551.pdf","MCRO_27-CR-23-8649_Notice of Remote Hearing with Instructions_2024-03-05_20240430073551.pdf")</f>
        <v>MCRO_27-CR-23-8649_Notice of Remote Hearing with Instructions_2024-03-05_20240430073551.pdf</v>
      </c>
      <c r="F137" s="1" t="s">
        <v>456</v>
      </c>
      <c r="G137" s="9" t="n">
        <v>45356</v>
      </c>
      <c r="H137" s="1" t="n">
        <v>1</v>
      </c>
    </row>
    <row r="138" customFormat="false" ht="18.7" hidden="false" customHeight="true" outlineLevel="0" collapsed="false">
      <c r="A138" s="1" t="n">
        <v>137</v>
      </c>
      <c r="G138" s="9"/>
    </row>
    <row r="139" customFormat="false" ht="18.7" hidden="false" customHeight="true" outlineLevel="0" collapsed="false">
      <c r="A139" s="1" t="n">
        <v>138</v>
      </c>
      <c r="B139" s="7" t="str">
        <f aca="false">HYPERLINK("https://mncourtfraud.com/file/MDL-30.zip","MDL-30.zip")</f>
        <v>MDL-30.zip</v>
      </c>
      <c r="C139" s="8" t="str">
        <f aca="false">HYPERLINK("https://mncourtfraud.com/file/27-CR-19-11566.pdf","27-CR-19-11566")</f>
        <v>27-CR-19-11566</v>
      </c>
      <c r="D139" s="3" t="s">
        <v>468</v>
      </c>
      <c r="E139" s="8" t="str">
        <f aca="false">HYPERLINK("https://mncourtfraud.com/file/MCRO_27-CR-19-11566_Notice of Hearing_2023-04-10_20240430091612.pdf","MCRO_27-CR-19-11566_Notice of Hearing_2023-04-10_20240430091612.pdf")</f>
        <v>MCRO_27-CR-19-11566_Notice of Hearing_2023-04-10_20240430091612.pdf</v>
      </c>
      <c r="F139" s="1" t="s">
        <v>1113</v>
      </c>
      <c r="G139" s="9" t="n">
        <v>45026</v>
      </c>
      <c r="H139" s="1" t="n">
        <v>65</v>
      </c>
    </row>
    <row r="140" customFormat="false" ht="18.7" hidden="false" customHeight="true" outlineLevel="0" collapsed="false">
      <c r="A140" s="1" t="n">
        <v>139</v>
      </c>
      <c r="B140" s="7" t="str">
        <f aca="false">HYPERLINK("https://mncourtfraud.com/file/MDL-30.zip","MDL-30.zip")</f>
        <v>MDL-30.zip</v>
      </c>
      <c r="C140" s="8" t="str">
        <f aca="false">HYPERLINK("https://mncourtfraud.com/file/27-CR-21-1230.pdf","27-CR-21-1230")</f>
        <v>27-CR-21-1230</v>
      </c>
      <c r="D140" s="3" t="s">
        <v>468</v>
      </c>
      <c r="E140" s="8" t="str">
        <f aca="false">HYPERLINK("https://mncourtfraud.com/file/MCRO_27-CR-21-1230_Order for Conditional Release_2021-03-08_20240430075453.pdf","MCRO_27-CR-21-1230_Order for Conditional Release_2021-03-08_20240430075453.pdf")</f>
        <v>MCRO_27-CR-21-1230_Order for Conditional Release_2021-03-08_20240430075453.pdf</v>
      </c>
      <c r="F140" s="1" t="s">
        <v>1114</v>
      </c>
      <c r="G140" s="9" t="n">
        <v>44263</v>
      </c>
      <c r="H140" s="1" t="n">
        <v>32</v>
      </c>
    </row>
    <row r="141" customFormat="false" ht="18.7" hidden="false" customHeight="true" outlineLevel="0" collapsed="false">
      <c r="A141" s="1" t="n">
        <v>140</v>
      </c>
      <c r="B141" s="7" t="str">
        <f aca="false">HYPERLINK("https://mncourtfraud.com/file/MDL-30.zip","MDL-30.zip")</f>
        <v>MDL-30.zip</v>
      </c>
      <c r="C141" s="8" t="str">
        <f aca="false">HYPERLINK("https://mncourtfraud.com/file/27-CR-20-9036.pdf","27-CR-20-9036")</f>
        <v>27-CR-20-9036</v>
      </c>
      <c r="D141" s="3" t="s">
        <v>468</v>
      </c>
      <c r="E141" s="8" t="str">
        <f aca="false">HYPERLINK("https://mncourtfraud.com/file/MCRO_27-CR-20-9036_Returned Mail_2020-12-16_20240430085559.pdf","MCRO_27-CR-20-9036_Returned Mail_2020-12-16_20240430085559.pdf")</f>
        <v>MCRO_27-CR-20-9036_Returned Mail_2020-12-16_20240430085559.pdf</v>
      </c>
      <c r="F141" s="1" t="s">
        <v>1115</v>
      </c>
      <c r="G141" s="9" t="n">
        <v>44181</v>
      </c>
      <c r="H141" s="1" t="n">
        <v>21</v>
      </c>
    </row>
    <row r="142" customFormat="false" ht="18.7" hidden="false" customHeight="true" outlineLevel="0" collapsed="false">
      <c r="A142" s="1" t="n">
        <v>141</v>
      </c>
      <c r="B142" s="7" t="str">
        <f aca="false">HYPERLINK("https://mncourtfraud.com/file/MDL-30.zip","MDL-30.zip")</f>
        <v>MDL-30.zip</v>
      </c>
      <c r="C142" s="8" t="str">
        <f aca="false">HYPERLINK("https://mncourtfraud.com/file/27-CR-21-1230.pdf","27-CR-21-1230")</f>
        <v>27-CR-21-1230</v>
      </c>
      <c r="D142" s="3" t="s">
        <v>468</v>
      </c>
      <c r="E142" s="8" t="str">
        <f aca="false">HYPERLINK("https://mncourtfraud.com/file/MCRO_27-CR-21-1230_Non-Cash Bond Posted_2023-03-17_20240430075434.pdf","MCRO_27-CR-21-1230_Non-Cash Bond Posted_2023-03-17_20240430075434.pdf")</f>
        <v>MCRO_27-CR-21-1230_Non-Cash Bond Posted_2023-03-17_20240430075434.pdf</v>
      </c>
      <c r="F142" s="1" t="s">
        <v>1116</v>
      </c>
      <c r="G142" s="9" t="n">
        <v>45002</v>
      </c>
      <c r="H142" s="1" t="n">
        <v>18</v>
      </c>
    </row>
    <row r="143" customFormat="false" ht="18.7" hidden="false" customHeight="true" outlineLevel="0" collapsed="false">
      <c r="A143" s="1" t="n">
        <v>142</v>
      </c>
      <c r="B143" s="7" t="str">
        <f aca="false">HYPERLINK("https://mncourtfraud.com/file/MDL-30.zip","MDL-30.zip")</f>
        <v>MDL-30.zip</v>
      </c>
      <c r="C143" s="8" t="str">
        <f aca="false">HYPERLINK("https://mncourtfraud.com/file/27-CR-21-13752.pdf","27-CR-21-13752")</f>
        <v>27-CR-21-13752</v>
      </c>
      <c r="D143" s="3" t="s">
        <v>468</v>
      </c>
      <c r="E143" s="8" t="str">
        <f aca="false">HYPERLINK("https://mncourtfraud.com/file/MCRO_27-CR-21-13752_Notice of Hearing_2022-10-28_20240430082349.pdf","MCRO_27-CR-21-13752_Notice of Hearing_2022-10-28_20240430082349.pdf")</f>
        <v>MCRO_27-CR-21-13752_Notice of Hearing_2022-10-28_20240430082349.pdf</v>
      </c>
      <c r="F143" s="1" t="s">
        <v>1117</v>
      </c>
      <c r="G143" s="9" t="n">
        <v>44862</v>
      </c>
      <c r="H143" s="1" t="n">
        <v>11</v>
      </c>
    </row>
    <row r="144" customFormat="false" ht="18.7" hidden="false" customHeight="true" outlineLevel="0" collapsed="false">
      <c r="A144" s="1" t="n">
        <v>143</v>
      </c>
      <c r="B144" s="7" t="str">
        <f aca="false">HYPERLINK("https://mncourtfraud.com/file/MDL-30.zip","MDL-30.zip")</f>
        <v>MDL-30.zip</v>
      </c>
      <c r="C144" s="8" t="str">
        <f aca="false">HYPERLINK("https://mncourtfraud.com/file/27-CR-19-11566.pdf","27-CR-19-11566")</f>
        <v>27-CR-19-11566</v>
      </c>
      <c r="D144" s="3" t="s">
        <v>468</v>
      </c>
      <c r="E144" s="8" t="str">
        <f aca="false">HYPERLINK("https://mncourtfraud.com/file/MCRO_27-CR-19-11566_Notice of Case Reassignment_2022-04-29_20240430091615.pdf","MCRO_27-CR-19-11566_Notice of Case Reassignment_2022-04-29_20240430091615.pdf")</f>
        <v>MCRO_27-CR-19-11566_Notice of Case Reassignment_2022-04-29_20240430091615.pdf</v>
      </c>
      <c r="F144" s="1" t="s">
        <v>1118</v>
      </c>
      <c r="G144" s="9" t="n">
        <v>44680</v>
      </c>
      <c r="H144" s="1" t="n">
        <v>6</v>
      </c>
    </row>
    <row r="145" customFormat="false" ht="18.7" hidden="false" customHeight="true" outlineLevel="0" collapsed="false">
      <c r="A145" s="1" t="n">
        <v>144</v>
      </c>
      <c r="B145" s="7" t="str">
        <f aca="false">HYPERLINK("https://mncourtfraud.com/file/MDL-30.zip","MDL-30.zip")</f>
        <v>MDL-30.zip</v>
      </c>
      <c r="C145" s="8" t="str">
        <f aca="false">HYPERLINK("https://mncourtfraud.com/file/27-CR-19-12130.pdf","27-CR-19-12130")</f>
        <v>27-CR-19-12130</v>
      </c>
      <c r="D145" s="3" t="s">
        <v>468</v>
      </c>
      <c r="E145" s="8" t="str">
        <f aca="false">HYPERLINK("https://mncourtfraud.com/file/MCRO_27-CR-19-12130_Notice of Case Reassignment_2022-04-29_20240430091721.pdf","MCRO_27-CR-19-12130_Notice of Case Reassignment_2022-04-29_20240430091721.pdf")</f>
        <v>MCRO_27-CR-19-12130_Notice of Case Reassignment_2022-04-29_20240430091721.pdf</v>
      </c>
      <c r="F145" s="1" t="s">
        <v>1119</v>
      </c>
      <c r="G145" s="9" t="n">
        <v>44680</v>
      </c>
      <c r="H145" s="1" t="n">
        <v>6</v>
      </c>
    </row>
    <row r="146" customFormat="false" ht="18.7" hidden="false" customHeight="true" outlineLevel="0" collapsed="false">
      <c r="A146" s="1" t="n">
        <v>145</v>
      </c>
      <c r="B146" s="7" t="str">
        <f aca="false">HYPERLINK("https://mncourtfraud.com/file/MDL-30.zip","MDL-30.zip")</f>
        <v>MDL-30.zip</v>
      </c>
      <c r="C146" s="8" t="str">
        <f aca="false">HYPERLINK("https://mncourtfraud.com/file/27-CR-20-9036.pdf","27-CR-20-9036")</f>
        <v>27-CR-20-9036</v>
      </c>
      <c r="D146" s="3" t="s">
        <v>468</v>
      </c>
      <c r="E146" s="8" t="str">
        <f aca="false">HYPERLINK("https://mncourtfraud.com/file/MCRO_27-CR-20-9036_Notice of Case Reassignment_2022-04-29_20240430085550.pdf","MCRO_27-CR-20-9036_Notice of Case Reassignment_2022-04-29_20240430085550.pdf")</f>
        <v>MCRO_27-CR-20-9036_Notice of Case Reassignment_2022-04-29_20240430085550.pdf</v>
      </c>
      <c r="F146" s="1" t="s">
        <v>1120</v>
      </c>
      <c r="G146" s="9" t="n">
        <v>44680</v>
      </c>
      <c r="H146" s="1" t="n">
        <v>6</v>
      </c>
    </row>
    <row r="147" customFormat="false" ht="18.7" hidden="false" customHeight="true" outlineLevel="0" collapsed="false">
      <c r="A147" s="1" t="n">
        <v>146</v>
      </c>
      <c r="B147" s="7" t="str">
        <f aca="false">HYPERLINK("https://mncourtfraud.com/file/MDL-30.zip","MDL-30.zip")</f>
        <v>MDL-30.zip</v>
      </c>
      <c r="C147" s="8" t="str">
        <f aca="false">HYPERLINK("https://mncourtfraud.com/file/27-CR-21-1230.pdf","27-CR-21-1230")</f>
        <v>27-CR-21-1230</v>
      </c>
      <c r="D147" s="3" t="s">
        <v>468</v>
      </c>
      <c r="E147" s="8" t="str">
        <f aca="false">HYPERLINK("https://mncourtfraud.com/file/MCRO_27-CR-21-1230_Notice of Case Reassignment_2022-04-29_20240430075442.pdf","MCRO_27-CR-21-1230_Notice of Case Reassignment_2022-04-29_20240430075442.pdf")</f>
        <v>MCRO_27-CR-21-1230_Notice of Case Reassignment_2022-04-29_20240430075442.pdf</v>
      </c>
      <c r="F147" s="1" t="s">
        <v>1121</v>
      </c>
      <c r="G147" s="9" t="n">
        <v>44680</v>
      </c>
      <c r="H147" s="1" t="n">
        <v>6</v>
      </c>
    </row>
    <row r="148" customFormat="false" ht="18.7" hidden="false" customHeight="true" outlineLevel="0" collapsed="false">
      <c r="A148" s="1" t="n">
        <v>147</v>
      </c>
      <c r="B148" s="7" t="str">
        <f aca="false">HYPERLINK("https://mncourtfraud.com/file/MDL-30.zip","MDL-30.zip")</f>
        <v>MDL-30.zip</v>
      </c>
      <c r="C148" s="8" t="str">
        <f aca="false">HYPERLINK("https://mncourtfraud.com/file/27-CR-21-13752.pdf","27-CR-21-13752")</f>
        <v>27-CR-21-13752</v>
      </c>
      <c r="D148" s="3" t="s">
        <v>468</v>
      </c>
      <c r="E148" s="8" t="str">
        <f aca="false">HYPERLINK("https://mncourtfraud.com/file/MCRO_27-CR-21-13752_Notice of Case Reassignment_2022-04-29_20240430082352.pdf","MCRO_27-CR-21-13752_Notice of Case Reassignment_2022-04-29_20240430082352.pdf")</f>
        <v>MCRO_27-CR-21-13752_Notice of Case Reassignment_2022-04-29_20240430082352.pdf</v>
      </c>
      <c r="F148" s="1" t="s">
        <v>1122</v>
      </c>
      <c r="G148" s="9" t="n">
        <v>44680</v>
      </c>
      <c r="H148" s="1" t="n">
        <v>6</v>
      </c>
    </row>
    <row r="149" customFormat="false" ht="18.7" hidden="false" customHeight="true" outlineLevel="0" collapsed="false">
      <c r="A149" s="1" t="n">
        <v>148</v>
      </c>
      <c r="B149" s="7" t="str">
        <f aca="false">HYPERLINK("https://mncourtfraud.com/file/MDL-30.zip","MDL-30.zip")</f>
        <v>MDL-30.zip</v>
      </c>
      <c r="C149" s="8" t="str">
        <f aca="false">HYPERLINK("https://mncourtfraud.com/file/27-CR-19-11566.pdf","27-CR-19-11566")</f>
        <v>27-CR-19-11566</v>
      </c>
      <c r="D149" s="3" t="s">
        <v>468</v>
      </c>
      <c r="E149" s="8" t="str">
        <f aca="false">HYPERLINK("https://mncourtfraud.com/file/MCRO_27-CR-19-11566_Amended Order_2019-09-26_20240430091635.pdf","MCRO_27-CR-19-11566_Amended Order_2019-09-26_20240430091635.pdf")</f>
        <v>MCRO_27-CR-19-11566_Amended Order_2019-09-26_20240430091635.pdf</v>
      </c>
      <c r="F149" s="1" t="s">
        <v>1123</v>
      </c>
      <c r="G149" s="9" t="n">
        <v>43734</v>
      </c>
      <c r="H149" s="1" t="n">
        <v>5</v>
      </c>
    </row>
    <row r="150" customFormat="false" ht="18.7" hidden="false" customHeight="true" outlineLevel="0" collapsed="false">
      <c r="A150" s="1" t="n">
        <v>149</v>
      </c>
      <c r="B150" s="7" t="str">
        <f aca="false">HYPERLINK("https://mncourtfraud.com/file/MDL-30.zip","MDL-30.zip")</f>
        <v>MDL-30.zip</v>
      </c>
      <c r="C150" s="8" t="str">
        <f aca="false">HYPERLINK("https://mncourtfraud.com/file/27-CR-19-12130.pdf","27-CR-19-12130")</f>
        <v>27-CR-19-12130</v>
      </c>
      <c r="D150" s="3" t="s">
        <v>468</v>
      </c>
      <c r="E150" s="8" t="str">
        <f aca="false">HYPERLINK("https://mncourtfraud.com/file/MCRO_27-CR-19-12130_Amended Order_2019-09-26_20240430091738.pdf","MCRO_27-CR-19-12130_Amended Order_2019-09-26_20240430091738.pdf")</f>
        <v>MCRO_27-CR-19-12130_Amended Order_2019-09-26_20240430091738.pdf</v>
      </c>
      <c r="F150" s="1" t="s">
        <v>1124</v>
      </c>
      <c r="G150" s="9" t="n">
        <v>43734</v>
      </c>
      <c r="H150" s="1" t="n">
        <v>5</v>
      </c>
    </row>
    <row r="151" customFormat="false" ht="18.7" hidden="false" customHeight="true" outlineLevel="0" collapsed="false">
      <c r="A151" s="1" t="n">
        <v>150</v>
      </c>
      <c r="B151" s="7" t="str">
        <f aca="false">HYPERLINK("https://mncourtfraud.com/file/MDL-30.zip","MDL-30.zip")</f>
        <v>MDL-30.zip</v>
      </c>
      <c r="C151" s="8" t="str">
        <f aca="false">HYPERLINK("https://mncourtfraud.com/file/27-CR-19-11566.pdf","27-CR-19-11566")</f>
        <v>27-CR-19-11566</v>
      </c>
      <c r="D151" s="3" t="s">
        <v>468</v>
      </c>
      <c r="E151" s="8" t="str">
        <f aca="false">HYPERLINK("https://mncourtfraud.com/file/MCRO_27-CR-19-11566_Notice of Case Reassignment_2022-12-16_20240430091614.pdf","MCRO_27-CR-19-11566_Notice of Case Reassignment_2022-12-16_20240430091614.pdf")</f>
        <v>MCRO_27-CR-19-11566_Notice of Case Reassignment_2022-12-16_20240430091614.pdf</v>
      </c>
      <c r="F151" s="1" t="s">
        <v>1125</v>
      </c>
      <c r="G151" s="9" t="n">
        <v>44911</v>
      </c>
      <c r="H151" s="1" t="n">
        <v>4</v>
      </c>
    </row>
    <row r="152" customFormat="false" ht="18.7" hidden="false" customHeight="true" outlineLevel="0" collapsed="false">
      <c r="A152" s="1" t="n">
        <v>151</v>
      </c>
      <c r="B152" s="7" t="str">
        <f aca="false">HYPERLINK("https://mncourtfraud.com/file/MDL-30.zip","MDL-30.zip")</f>
        <v>MDL-30.zip</v>
      </c>
      <c r="C152" s="8" t="str">
        <f aca="false">HYPERLINK("https://mncourtfraud.com/file/27-CR-19-12130.pdf","27-CR-19-12130")</f>
        <v>27-CR-19-12130</v>
      </c>
      <c r="D152" s="3" t="s">
        <v>468</v>
      </c>
      <c r="E152" s="8" t="str">
        <f aca="false">HYPERLINK("https://mncourtfraud.com/file/MCRO_27-CR-19-12130_Notice of Case Reassignment_2022-12-16_20240430091720.pdf","MCRO_27-CR-19-12130_Notice of Case Reassignment_2022-12-16_20240430091720.pdf")</f>
        <v>MCRO_27-CR-19-12130_Notice of Case Reassignment_2022-12-16_20240430091720.pdf</v>
      </c>
      <c r="F152" s="1" t="s">
        <v>1126</v>
      </c>
      <c r="G152" s="9" t="n">
        <v>44911</v>
      </c>
      <c r="H152" s="1" t="n">
        <v>4</v>
      </c>
    </row>
    <row r="153" customFormat="false" ht="18.7" hidden="false" customHeight="true" outlineLevel="0" collapsed="false">
      <c r="A153" s="1" t="n">
        <v>152</v>
      </c>
      <c r="B153" s="7" t="str">
        <f aca="false">HYPERLINK("https://mncourtfraud.com/file/MDL-30.zip","MDL-30.zip")</f>
        <v>MDL-30.zip</v>
      </c>
      <c r="C153" s="8" t="str">
        <f aca="false">HYPERLINK("https://mncourtfraud.com/file/27-CR-20-9036.pdf","27-CR-20-9036")</f>
        <v>27-CR-20-9036</v>
      </c>
      <c r="D153" s="3" t="s">
        <v>468</v>
      </c>
      <c r="E153" s="8" t="str">
        <f aca="false">HYPERLINK("https://mncourtfraud.com/file/MCRO_27-CR-20-9036_Notice of Case Reassignment_2022-12-16_20240430085549.pdf","MCRO_27-CR-20-9036_Notice of Case Reassignment_2022-12-16_20240430085549.pdf")</f>
        <v>MCRO_27-CR-20-9036_Notice of Case Reassignment_2022-12-16_20240430085549.pdf</v>
      </c>
      <c r="F153" s="1" t="s">
        <v>1127</v>
      </c>
      <c r="G153" s="9" t="n">
        <v>44911</v>
      </c>
      <c r="H153" s="1" t="n">
        <v>4</v>
      </c>
    </row>
    <row r="154" customFormat="false" ht="18.7" hidden="false" customHeight="true" outlineLevel="0" collapsed="false">
      <c r="A154" s="1" t="n">
        <v>153</v>
      </c>
      <c r="B154" s="7" t="str">
        <f aca="false">HYPERLINK("https://mncourtfraud.com/file/MDL-30.zip","MDL-30.zip")</f>
        <v>MDL-30.zip</v>
      </c>
      <c r="C154" s="8" t="str">
        <f aca="false">HYPERLINK("https://mncourtfraud.com/file/27-CR-21-1230.pdf","27-CR-21-1230")</f>
        <v>27-CR-21-1230</v>
      </c>
      <c r="D154" s="3" t="s">
        <v>468</v>
      </c>
      <c r="E154" s="8" t="str">
        <f aca="false">HYPERLINK("https://mncourtfraud.com/file/MCRO_27-CR-21-1230_Notice of Case Reassignment_2022-12-16_20240430075437.pdf","MCRO_27-CR-21-1230_Notice of Case Reassignment_2022-12-16_20240430075437.pdf")</f>
        <v>MCRO_27-CR-21-1230_Notice of Case Reassignment_2022-12-16_20240430075437.pdf</v>
      </c>
      <c r="F154" s="1" t="s">
        <v>1128</v>
      </c>
      <c r="G154" s="9" t="n">
        <v>44911</v>
      </c>
      <c r="H154" s="1" t="n">
        <v>4</v>
      </c>
    </row>
    <row r="155" customFormat="false" ht="18.7" hidden="false" customHeight="true" outlineLevel="0" collapsed="false">
      <c r="A155" s="1" t="n">
        <v>154</v>
      </c>
      <c r="B155" s="7" t="str">
        <f aca="false">HYPERLINK("https://mncourtfraud.com/file/MDL-30.zip","MDL-30.zip")</f>
        <v>MDL-30.zip</v>
      </c>
      <c r="C155" s="8" t="str">
        <f aca="false">HYPERLINK("https://mncourtfraud.com/file/27-CR-21-13752.pdf","27-CR-21-13752")</f>
        <v>27-CR-21-13752</v>
      </c>
      <c r="D155" s="3" t="s">
        <v>468</v>
      </c>
      <c r="E155" s="8" t="str">
        <f aca="false">HYPERLINK("https://mncourtfraud.com/file/MCRO_27-CR-21-13752_Notice of Case Reassignment_2022-12-16_20240430082348.pdf","MCRO_27-CR-21-13752_Notice of Case Reassignment_2022-12-16_20240430082348.pdf")</f>
        <v>MCRO_27-CR-21-13752_Notice of Case Reassignment_2022-12-16_20240430082348.pdf</v>
      </c>
      <c r="F155" s="1" t="s">
        <v>1129</v>
      </c>
      <c r="G155" s="9" t="n">
        <v>44911</v>
      </c>
      <c r="H155" s="1" t="n">
        <v>4</v>
      </c>
    </row>
    <row r="156" customFormat="false" ht="18.7" hidden="false" customHeight="true" outlineLevel="0" collapsed="false">
      <c r="A156" s="1" t="n">
        <v>155</v>
      </c>
      <c r="B156" s="7" t="str">
        <f aca="false">HYPERLINK("https://mncourtfraud.com/file/MDL-30.zip","MDL-30.zip")</f>
        <v>MDL-30.zip</v>
      </c>
      <c r="C156" s="8" t="str">
        <f aca="false">HYPERLINK("https://mncourtfraud.com/file/27-CR-21-1230.pdf","27-CR-21-1230")</f>
        <v>27-CR-21-1230</v>
      </c>
      <c r="D156" s="3" t="s">
        <v>468</v>
      </c>
      <c r="E156" s="8" t="str">
        <f aca="false">HYPERLINK("https://mncourtfraud.com/file/MCRO_27-CR-21-1230_Notice of Remote Hearing with Instructions_2021-03-08_20240430075451.pdf","MCRO_27-CR-21-1230_Notice of Remote Hearing with Instructions_2021-03-08_20240430075451.pdf")</f>
        <v>MCRO_27-CR-21-1230_Notice of Remote Hearing with Instructions_2021-03-08_20240430075451.pdf</v>
      </c>
      <c r="F156" s="1" t="s">
        <v>1130</v>
      </c>
      <c r="G156" s="9" t="n">
        <v>44263</v>
      </c>
      <c r="H156" s="1" t="n">
        <v>3</v>
      </c>
    </row>
    <row r="157" customFormat="false" ht="18.7" hidden="false" customHeight="true" outlineLevel="0" collapsed="false">
      <c r="A157" s="1" t="n">
        <v>156</v>
      </c>
      <c r="B157" s="7" t="str">
        <f aca="false">HYPERLINK("https://mncourtfraud.com/file/MDL-30.zip","MDL-30.zip")</f>
        <v>MDL-30.zip</v>
      </c>
      <c r="C157" s="8" t="str">
        <f aca="false">HYPERLINK("https://mncourtfraud.com/file/27-CR-19-11566.pdf","27-CR-19-11566")</f>
        <v>27-CR-19-11566</v>
      </c>
      <c r="D157" s="3" t="s">
        <v>468</v>
      </c>
      <c r="E157" s="8" t="str">
        <f aca="false">HYPERLINK("https://mncourtfraud.com/file/MCRO_27-CR-19-11566_Returned Mail_2019-05-29_20240430091637.pdf","MCRO_27-CR-19-11566_Returned Mail_2019-05-29_20240430091637.pdf")</f>
        <v>MCRO_27-CR-19-11566_Returned Mail_2019-05-29_20240430091637.pdf</v>
      </c>
      <c r="F157" s="1" t="s">
        <v>1131</v>
      </c>
      <c r="G157" s="9" t="n">
        <v>43614</v>
      </c>
      <c r="H157" s="1" t="n">
        <v>2</v>
      </c>
    </row>
    <row r="158" customFormat="false" ht="18.7" hidden="false" customHeight="true" outlineLevel="0" collapsed="false">
      <c r="A158" s="1" t="n">
        <v>157</v>
      </c>
      <c r="B158" s="7" t="str">
        <f aca="false">HYPERLINK("https://mncourtfraud.com/file/MDL-30.zip","MDL-30.zip")</f>
        <v>MDL-30.zip</v>
      </c>
      <c r="C158" s="8" t="str">
        <f aca="false">HYPERLINK("https://mncourtfraud.com/file/27-CR-19-11566.pdf","27-CR-19-11566")</f>
        <v>27-CR-19-11566</v>
      </c>
      <c r="D158" s="3" t="s">
        <v>468</v>
      </c>
      <c r="E158" s="8" t="str">
        <f aca="false">HYPERLINK("https://mncourtfraud.com/file/MCRO_27-CR-19-11566_Pandemic Notice of Cancelled or Rescheduled Hearing_2020-03-25_20240430091633.pdf","MCRO_27-CR-19-11566_Pandemic Notice of Cancelled or Rescheduled Hearing_2020-03-25_20240430091633.pdf")</f>
        <v>MCRO_27-CR-19-11566_Pandemic Notice of Cancelled or Rescheduled Hearing_2020-03-25_20240430091633.pdf</v>
      </c>
      <c r="F158" s="1" t="s">
        <v>1132</v>
      </c>
      <c r="G158" s="9" t="n">
        <v>43915</v>
      </c>
      <c r="H158" s="1" t="n">
        <v>2</v>
      </c>
    </row>
    <row r="159" customFormat="false" ht="18.7" hidden="false" customHeight="true" outlineLevel="0" collapsed="false">
      <c r="A159" s="1" t="n">
        <v>158</v>
      </c>
      <c r="B159" s="7" t="str">
        <f aca="false">HYPERLINK("https://mncourtfraud.com/file/MDL-30.zip","MDL-30.zip")</f>
        <v>MDL-30.zip</v>
      </c>
      <c r="C159" s="8" t="str">
        <f aca="false">HYPERLINK("https://mncourtfraud.com/file/27-CR-19-12130.pdf","27-CR-19-12130")</f>
        <v>27-CR-19-12130</v>
      </c>
      <c r="D159" s="3" t="s">
        <v>468</v>
      </c>
      <c r="E159" s="8" t="str">
        <f aca="false">HYPERLINK("https://mncourtfraud.com/file/MCRO_27-CR-19-12130_Pandemic Notice of Cancelled or Rescheduled Hearing_2020-03-25_20240430091737.pdf","MCRO_27-CR-19-12130_Pandemic Notice of Cancelled or Rescheduled Hearing_2020-03-25_20240430091737.pdf")</f>
        <v>MCRO_27-CR-19-12130_Pandemic Notice of Cancelled or Rescheduled Hearing_2020-03-25_20240430091737.pdf</v>
      </c>
      <c r="F159" s="1" t="s">
        <v>1133</v>
      </c>
      <c r="G159" s="9" t="n">
        <v>43915</v>
      </c>
      <c r="H159" s="1" t="n">
        <v>2</v>
      </c>
    </row>
    <row r="160" customFormat="false" ht="18.7" hidden="false" customHeight="true" outlineLevel="0" collapsed="false">
      <c r="A160" s="1" t="n">
        <v>159</v>
      </c>
      <c r="B160" s="7" t="str">
        <f aca="false">HYPERLINK("https://mncourtfraud.com/file/MDL-30.zip","MDL-30.zip")</f>
        <v>MDL-30.zip</v>
      </c>
      <c r="C160" s="8" t="str">
        <f aca="false">HYPERLINK("https://mncourtfraud.com/file/27-CR-19-11566.pdf","27-CR-19-11566")</f>
        <v>27-CR-19-11566</v>
      </c>
      <c r="D160" s="3" t="s">
        <v>468</v>
      </c>
      <c r="E160" s="8" t="str">
        <f aca="false">HYPERLINK("https://mncourtfraud.com/file/MCRO_27-CR-19-11566_Returned Mail_2021-09-08_20240430091618.pdf","MCRO_27-CR-19-11566_Returned Mail_2021-09-08_20240430091618.pdf")</f>
        <v>MCRO_27-CR-19-11566_Returned Mail_2021-09-08_20240430091618.pdf</v>
      </c>
      <c r="F160" s="1" t="s">
        <v>480</v>
      </c>
      <c r="G160" s="9" t="n">
        <v>44447</v>
      </c>
      <c r="H160" s="1" t="n">
        <v>2</v>
      </c>
    </row>
    <row r="161" customFormat="false" ht="18.7" hidden="false" customHeight="true" outlineLevel="0" collapsed="false">
      <c r="A161" s="1" t="n">
        <v>160</v>
      </c>
      <c r="B161" s="7" t="str">
        <f aca="false">HYPERLINK("https://mncourtfraud.com/file/MDL-30.zip","MDL-30.zip")</f>
        <v>MDL-30.zip</v>
      </c>
      <c r="C161" s="8" t="str">
        <f aca="false">HYPERLINK("https://mncourtfraud.com/file/27-CR-20-20851.pdf","27-CR-20-20851")</f>
        <v>27-CR-20-20851</v>
      </c>
      <c r="D161" s="3" t="s">
        <v>483</v>
      </c>
      <c r="E161" s="8" t="str">
        <f aca="false">HYPERLINK("https://mncourtfraud.com/file/MCRO_27-CR-20-20851_Returned Mail_2021-09-08_20240430090348.pdf","MCRO_27-CR-20-20851_Returned Mail_2021-09-08_20240430090348.pdf")</f>
        <v>MCRO_27-CR-20-20851_Returned Mail_2021-09-08_20240430090348.pdf</v>
      </c>
      <c r="F161" s="1" t="s">
        <v>1134</v>
      </c>
      <c r="G161" s="9" t="n">
        <v>44447</v>
      </c>
      <c r="H161" s="1" t="n">
        <v>2</v>
      </c>
    </row>
    <row r="162" customFormat="false" ht="18.7" hidden="false" customHeight="true" outlineLevel="0" collapsed="false">
      <c r="A162" s="1" t="n">
        <v>161</v>
      </c>
      <c r="B162" s="7" t="str">
        <f aca="false">HYPERLINK("https://mncourtfraud.com/file/MDL-30.zip","MDL-30.zip")</f>
        <v>MDL-30.zip</v>
      </c>
      <c r="C162" s="8" t="str">
        <f aca="false">HYPERLINK("https://mncourtfraud.com/file/27-CR-21-13752.pdf","27-CR-21-13752")</f>
        <v>27-CR-21-13752</v>
      </c>
      <c r="D162" s="3" t="s">
        <v>468</v>
      </c>
      <c r="E162" s="8" t="str">
        <f aca="false">HYPERLINK("https://mncourtfraud.com/file/MCRO_27-CR-21-13752_Returned Mail_2021-09-08_20240430082356.pdf","MCRO_27-CR-21-13752_Returned Mail_2021-09-08_20240430082356.pdf")</f>
        <v>MCRO_27-CR-21-13752_Returned Mail_2021-09-08_20240430082356.pdf</v>
      </c>
      <c r="F162" s="1" t="s">
        <v>480</v>
      </c>
      <c r="G162" s="9" t="n">
        <v>44447</v>
      </c>
      <c r="H162" s="1" t="n">
        <v>2</v>
      </c>
    </row>
    <row r="163" customFormat="false" ht="18.7" hidden="false" customHeight="true" outlineLevel="0" collapsed="false">
      <c r="A163" s="1" t="n">
        <v>162</v>
      </c>
      <c r="B163" s="7" t="str">
        <f aca="false">HYPERLINK("https://mncourtfraud.com/file/MDL-30.zip","MDL-30.zip")</f>
        <v>MDL-30.zip</v>
      </c>
      <c r="C163" s="8" t="str">
        <f aca="false">HYPERLINK("https://mncourtfraud.com/file/27-CR-19-11566.pdf","27-CR-19-11566")</f>
        <v>27-CR-19-11566</v>
      </c>
      <c r="D163" s="3" t="s">
        <v>468</v>
      </c>
      <c r="E163" s="8" t="str">
        <f aca="false">HYPERLINK("https://mncourtfraud.com/file/MCRO_27-CR-19-11566_Returned Mail_2023-04-17_20240430091611.pdf","MCRO_27-CR-19-11566_Returned Mail_2023-04-17_20240430091611.pdf")</f>
        <v>MCRO_27-CR-19-11566_Returned Mail_2023-04-17_20240430091611.pdf</v>
      </c>
      <c r="F163" s="1" t="s">
        <v>1135</v>
      </c>
      <c r="G163" s="9" t="n">
        <v>45033</v>
      </c>
      <c r="H163" s="1" t="n">
        <v>2</v>
      </c>
    </row>
    <row r="164" customFormat="false" ht="18.7" hidden="false" customHeight="true" outlineLevel="0" collapsed="false">
      <c r="A164" s="1" t="n">
        <v>163</v>
      </c>
      <c r="B164" s="7" t="str">
        <f aca="false">HYPERLINK("https://mncourtfraud.com/file/MDL-30.zip","MDL-30.zip")</f>
        <v>MDL-30.zip</v>
      </c>
      <c r="C164" s="8" t="str">
        <f aca="false">HYPERLINK("https://mncourtfraud.com/file/27-CR-19-12130.pdf","27-CR-19-12130")</f>
        <v>27-CR-19-12130</v>
      </c>
      <c r="D164" s="3" t="s">
        <v>468</v>
      </c>
      <c r="E164" s="8" t="str">
        <f aca="false">HYPERLINK("https://mncourtfraud.com/file/MCRO_27-CR-19-12130_Returned Mail_2023-04-17_20240430091717.pdf","MCRO_27-CR-19-12130_Returned Mail_2023-04-17_20240430091717.pdf")</f>
        <v>MCRO_27-CR-19-12130_Returned Mail_2023-04-17_20240430091717.pdf</v>
      </c>
      <c r="F164" s="1" t="s">
        <v>497</v>
      </c>
      <c r="G164" s="9" t="n">
        <v>45033</v>
      </c>
      <c r="H164" s="1" t="n">
        <v>2</v>
      </c>
    </row>
    <row r="165" customFormat="false" ht="18.7" hidden="false" customHeight="true" outlineLevel="0" collapsed="false">
      <c r="A165" s="1" t="n">
        <v>164</v>
      </c>
      <c r="B165" s="7" t="str">
        <f aca="false">HYPERLINK("https://mncourtfraud.com/file/MDL-30.zip","MDL-30.zip")</f>
        <v>MDL-30.zip</v>
      </c>
      <c r="C165" s="8" t="str">
        <f aca="false">HYPERLINK("https://mncourtfraud.com/file/27-CR-20-20851.pdf","27-CR-20-20851")</f>
        <v>27-CR-20-20851</v>
      </c>
      <c r="D165" s="3" t="s">
        <v>483</v>
      </c>
      <c r="E165" s="8" t="str">
        <f aca="false">HYPERLINK("https://mncourtfraud.com/file/MCRO_27-CR-20-20851_Returned Mail_2023-04-17_20240430090336.pdf","MCRO_27-CR-20-20851_Returned Mail_2023-04-17_20240430090336.pdf")</f>
        <v>MCRO_27-CR-20-20851_Returned Mail_2023-04-17_20240430090336.pdf</v>
      </c>
      <c r="F165" s="1" t="s">
        <v>497</v>
      </c>
      <c r="G165" s="9" t="n">
        <v>45033</v>
      </c>
      <c r="H165" s="1" t="n">
        <v>2</v>
      </c>
    </row>
    <row r="166" customFormat="false" ht="18.7" hidden="false" customHeight="true" outlineLevel="0" collapsed="false">
      <c r="A166" s="1" t="n">
        <v>165</v>
      </c>
      <c r="B166" s="7" t="str">
        <f aca="false">HYPERLINK("https://mncourtfraud.com/file/MDL-30.zip","MDL-30.zip")</f>
        <v>MDL-30.zip</v>
      </c>
      <c r="C166" s="8" t="str">
        <f aca="false">HYPERLINK("https://mncourtfraud.com/file/27-CR-20-9036.pdf","27-CR-20-9036")</f>
        <v>27-CR-20-9036</v>
      </c>
      <c r="D166" s="3" t="s">
        <v>468</v>
      </c>
      <c r="E166" s="8" t="str">
        <f aca="false">HYPERLINK("https://mncourtfraud.com/file/MCRO_27-CR-20-9036_Returned Mail_2023-04-17_20240430085547.pdf","MCRO_27-CR-20-9036_Returned Mail_2023-04-17_20240430085547.pdf")</f>
        <v>MCRO_27-CR-20-9036_Returned Mail_2023-04-17_20240430085547.pdf</v>
      </c>
      <c r="F166" s="1" t="s">
        <v>497</v>
      </c>
      <c r="G166" s="9" t="n">
        <v>45033</v>
      </c>
      <c r="H166" s="1" t="n">
        <v>2</v>
      </c>
    </row>
    <row r="167" customFormat="false" ht="18.7" hidden="false" customHeight="true" outlineLevel="0" collapsed="false">
      <c r="A167" s="1" t="n">
        <v>166</v>
      </c>
      <c r="B167" s="7" t="str">
        <f aca="false">HYPERLINK("https://mncourtfraud.com/file/MDL-30.zip","MDL-30.zip")</f>
        <v>MDL-30.zip</v>
      </c>
      <c r="C167" s="8" t="str">
        <f aca="false">HYPERLINK("https://mncourtfraud.com/file/27-CR-21-1230.pdf","27-CR-21-1230")</f>
        <v>27-CR-21-1230</v>
      </c>
      <c r="D167" s="3" t="s">
        <v>468</v>
      </c>
      <c r="E167" s="8" t="str">
        <f aca="false">HYPERLINK("https://mncourtfraud.com/file/MCRO_27-CR-21-1230_Returned Mail_2023-04-17_20240430075422.pdf","MCRO_27-CR-21-1230_Returned Mail_2023-04-17_20240430075422.pdf")</f>
        <v>MCRO_27-CR-21-1230_Returned Mail_2023-04-17_20240430075422.pdf</v>
      </c>
      <c r="F167" s="1" t="s">
        <v>497</v>
      </c>
      <c r="G167" s="9" t="n">
        <v>45033</v>
      </c>
      <c r="H167" s="1" t="n">
        <v>2</v>
      </c>
    </row>
    <row r="168" customFormat="false" ht="18.7" hidden="false" customHeight="true" outlineLevel="0" collapsed="false">
      <c r="A168" s="1" t="n">
        <v>167</v>
      </c>
      <c r="B168" s="7" t="str">
        <f aca="false">HYPERLINK("https://mncourtfraud.com/file/MDL-30.zip","MDL-30.zip")</f>
        <v>MDL-30.zip</v>
      </c>
      <c r="C168" s="8" t="str">
        <f aca="false">HYPERLINK("https://mncourtfraud.com/file/27-CR-21-13752.pdf","27-CR-21-13752")</f>
        <v>27-CR-21-13752</v>
      </c>
      <c r="D168" s="3" t="s">
        <v>468</v>
      </c>
      <c r="E168" s="8" t="str">
        <f aca="false">HYPERLINK("https://mncourtfraud.com/file/MCRO_27-CR-21-13752_Returned Mail_2023-04-17_20240430082334.pdf","MCRO_27-CR-21-13752_Returned Mail_2023-04-17_20240430082334.pdf")</f>
        <v>MCRO_27-CR-21-13752_Returned Mail_2023-04-17_20240430082334.pdf</v>
      </c>
      <c r="F168" s="1" t="s">
        <v>497</v>
      </c>
      <c r="G168" s="9" t="n">
        <v>45033</v>
      </c>
      <c r="H168" s="1" t="n">
        <v>2</v>
      </c>
    </row>
    <row r="169" customFormat="false" ht="18.7" hidden="false" customHeight="true" outlineLevel="0" collapsed="false">
      <c r="A169" s="1" t="n">
        <v>168</v>
      </c>
      <c r="B169" s="7" t="str">
        <f aca="false">HYPERLINK("https://mncourtfraud.com/file/MDL-30.zip","MDL-30.zip")</f>
        <v>MDL-30.zip</v>
      </c>
      <c r="C169" s="8" t="str">
        <f aca="false">HYPERLINK("https://mncourtfraud.com/file/27-CR-22-10055.pdf","27-CR-22-10055")</f>
        <v>27-CR-22-10055</v>
      </c>
      <c r="D169" s="3" t="s">
        <v>487</v>
      </c>
      <c r="E169" s="8" t="str">
        <f aca="false">HYPERLINK("https://mncourtfraud.com/file/MCRO_27-CR-22-10055_Returned Mail_2023-04-17_20240429152800.pdf","MCRO_27-CR-22-10055_Returned Mail_2023-04-17_20240429152800.pdf")</f>
        <v>MCRO_27-CR-22-10055_Returned Mail_2023-04-17_20240429152800.pdf</v>
      </c>
      <c r="F169" s="1" t="s">
        <v>497</v>
      </c>
      <c r="G169" s="9" t="n">
        <v>45033</v>
      </c>
      <c r="H169" s="1" t="n">
        <v>2</v>
      </c>
    </row>
    <row r="170" customFormat="false" ht="18.7" hidden="false" customHeight="true" outlineLevel="0" collapsed="false">
      <c r="A170" s="1" t="n">
        <v>169</v>
      </c>
      <c r="B170" s="7" t="str">
        <f aca="false">HYPERLINK("https://mncourtfraud.com/file/MDL-30.zip","MDL-30.zip")</f>
        <v>MDL-30.zip</v>
      </c>
      <c r="C170" s="8" t="str">
        <f aca="false">HYPERLINK("https://mncourtfraud.com/file/27-CR-19-11566.pdf","27-CR-19-11566")</f>
        <v>27-CR-19-11566</v>
      </c>
      <c r="D170" s="3" t="s">
        <v>468</v>
      </c>
      <c r="E170" s="8" t="str">
        <f aca="false">HYPERLINK("https://mncourtfraud.com/file/MCRO_27-CR-19-11566_Summons_2019-05-20_20240430091638.pdf","MCRO_27-CR-19-11566_Summons_2019-05-20_20240430091638.pdf")</f>
        <v>MCRO_27-CR-19-11566_Summons_2019-05-20_20240430091638.pdf</v>
      </c>
      <c r="F170" s="1" t="s">
        <v>1136</v>
      </c>
      <c r="G170" s="9" t="n">
        <v>43605</v>
      </c>
      <c r="H170" s="1" t="n">
        <v>1</v>
      </c>
    </row>
    <row r="171" customFormat="false" ht="18.7" hidden="false" customHeight="true" outlineLevel="0" collapsed="false">
      <c r="A171" s="1" t="n">
        <v>170</v>
      </c>
      <c r="B171" s="7" t="str">
        <f aca="false">HYPERLINK("https://mncourtfraud.com/file/MDL-30.zip","MDL-30.zip")</f>
        <v>MDL-30.zip</v>
      </c>
      <c r="C171" s="8" t="str">
        <f aca="false">HYPERLINK("https://mncourtfraud.com/file/27-CR-19-11566.pdf","27-CR-19-11566")</f>
        <v>27-CR-19-11566</v>
      </c>
      <c r="D171" s="3" t="s">
        <v>468</v>
      </c>
      <c r="E171" s="8" t="str">
        <f aca="false">HYPERLINK("https://mncourtfraud.com/file/MCRO_27-CR-19-11566_Pandemic Notice of Cancelled or Rescheduled Hearing_2020-04-29_20240430091630.pdf","MCRO_27-CR-19-11566_Pandemic Notice of Cancelled or Rescheduled Hearing_2020-04-29_20240430091630.pdf")</f>
        <v>MCRO_27-CR-19-11566_Pandemic Notice of Cancelled or Rescheduled Hearing_2020-04-29_20240430091630.pdf</v>
      </c>
      <c r="F171" s="1" t="s">
        <v>471</v>
      </c>
      <c r="G171" s="9" t="n">
        <v>43950</v>
      </c>
      <c r="H171" s="1" t="n">
        <v>1</v>
      </c>
    </row>
    <row r="172" customFormat="false" ht="18.7" hidden="false" customHeight="true" outlineLevel="0" collapsed="false">
      <c r="A172" s="1" t="n">
        <v>171</v>
      </c>
      <c r="B172" s="7" t="str">
        <f aca="false">HYPERLINK("https://mncourtfraud.com/file/MDL-30.zip","MDL-30.zip")</f>
        <v>MDL-30.zip</v>
      </c>
      <c r="C172" s="8" t="str">
        <f aca="false">HYPERLINK("https://mncourtfraud.com/file/27-CR-19-12130.pdf","27-CR-19-12130")</f>
        <v>27-CR-19-12130</v>
      </c>
      <c r="D172" s="3" t="s">
        <v>468</v>
      </c>
      <c r="E172" s="8" t="str">
        <f aca="false">HYPERLINK("https://mncourtfraud.com/file/MCRO_27-CR-19-12130_Pandemic Notice of Cancelled or Rescheduled Hearing_2020-04-29_20240430091735.pdf","MCRO_27-CR-19-12130_Pandemic Notice of Cancelled or Rescheduled Hearing_2020-04-29_20240430091735.pdf")</f>
        <v>MCRO_27-CR-19-12130_Pandemic Notice of Cancelled or Rescheduled Hearing_2020-04-29_20240430091735.pdf</v>
      </c>
      <c r="F172" s="1" t="s">
        <v>471</v>
      </c>
      <c r="G172" s="9" t="n">
        <v>43950</v>
      </c>
      <c r="H172" s="1" t="n">
        <v>1</v>
      </c>
    </row>
    <row r="173" customFormat="false" ht="18.7" hidden="false" customHeight="true" outlineLevel="0" collapsed="false">
      <c r="A173" s="1" t="n">
        <v>172</v>
      </c>
      <c r="B173" s="7" t="str">
        <f aca="false">HYPERLINK("https://mncourtfraud.com/file/MDL-30.zip","MDL-30.zip")</f>
        <v>MDL-30.zip</v>
      </c>
      <c r="C173" s="8" t="str">
        <f aca="false">HYPERLINK("https://mncourtfraud.com/file/27-CR-20-9036.pdf","27-CR-20-9036")</f>
        <v>27-CR-20-9036</v>
      </c>
      <c r="D173" s="3" t="s">
        <v>468</v>
      </c>
      <c r="E173" s="8" t="str">
        <f aca="false">HYPERLINK("https://mncourtfraud.com/file/MCRO_27-CR-20-9036_Notice of Remote Hearing with Instructions_2020-12-01_20240430085600.pdf","MCRO_27-CR-20-9036_Notice of Remote Hearing with Instructions_2020-12-01_20240430085600.pdf")</f>
        <v>MCRO_27-CR-20-9036_Notice of Remote Hearing with Instructions_2020-12-01_20240430085600.pdf</v>
      </c>
      <c r="F173" s="1" t="s">
        <v>1137</v>
      </c>
      <c r="G173" s="9" t="n">
        <v>44166</v>
      </c>
      <c r="H173" s="1" t="n">
        <v>1</v>
      </c>
    </row>
    <row r="174" customFormat="false" ht="18.7" hidden="false" customHeight="true" outlineLevel="0" collapsed="false">
      <c r="A174" s="1" t="n">
        <v>173</v>
      </c>
      <c r="B174" s="7" t="str">
        <f aca="false">HYPERLINK("https://mncourtfraud.com/file/MDL-30.zip","MDL-30.zip")</f>
        <v>MDL-30.zip</v>
      </c>
      <c r="C174" s="8" t="str">
        <f aca="false">HYPERLINK("https://mncourtfraud.com/file/27-CR-19-11566.pdf","27-CR-19-11566")</f>
        <v>27-CR-19-11566</v>
      </c>
      <c r="D174" s="3" t="s">
        <v>468</v>
      </c>
      <c r="E174" s="8" t="str">
        <f aca="false">HYPERLINK("https://mncourtfraud.com/file/MCRO_27-CR-19-11566_Notice of Remote Hearing with Instructions_2021-02-16_20240430091622.pdf","MCRO_27-CR-19-11566_Notice of Remote Hearing with Instructions_2021-02-16_20240430091622.pdf")</f>
        <v>MCRO_27-CR-19-11566_Notice of Remote Hearing with Instructions_2021-02-16_20240430091622.pdf</v>
      </c>
      <c r="F174" s="1" t="s">
        <v>1138</v>
      </c>
      <c r="G174" s="9" t="n">
        <v>44243</v>
      </c>
      <c r="H174" s="1" t="n">
        <v>1</v>
      </c>
    </row>
    <row r="175" customFormat="false" ht="18.7" hidden="false" customHeight="true" outlineLevel="0" collapsed="false">
      <c r="A175" s="1" t="n">
        <v>174</v>
      </c>
      <c r="B175" s="7" t="str">
        <f aca="false">HYPERLINK("https://mncourtfraud.com/file/MDL-30.zip","MDL-30.zip")</f>
        <v>MDL-30.zip</v>
      </c>
      <c r="C175" s="8" t="str">
        <f aca="false">HYPERLINK("https://mncourtfraud.com/file/27-CR-19-12130.pdf","27-CR-19-12130")</f>
        <v>27-CR-19-12130</v>
      </c>
      <c r="D175" s="3" t="s">
        <v>468</v>
      </c>
      <c r="E175" s="8" t="str">
        <f aca="false">HYPERLINK("https://mncourtfraud.com/file/MCRO_27-CR-19-12130_Notice of Remote Hearing with Instructions_2021-02-16_20240430091726.pdf","MCRO_27-CR-19-12130_Notice of Remote Hearing with Instructions_2021-02-16_20240430091726.pdf")</f>
        <v>MCRO_27-CR-19-12130_Notice of Remote Hearing with Instructions_2021-02-16_20240430091726.pdf</v>
      </c>
      <c r="F175" s="1" t="s">
        <v>1139</v>
      </c>
      <c r="G175" s="9" t="n">
        <v>44243</v>
      </c>
      <c r="H175" s="1" t="n">
        <v>1</v>
      </c>
    </row>
    <row r="176" customFormat="false" ht="18.7" hidden="false" customHeight="true" outlineLevel="0" collapsed="false">
      <c r="A176" s="1" t="n">
        <v>175</v>
      </c>
      <c r="B176" s="7" t="str">
        <f aca="false">HYPERLINK("https://mncourtfraud.com/file/MDL-30.zip","MDL-30.zip")</f>
        <v>MDL-30.zip</v>
      </c>
      <c r="C176" s="8" t="str">
        <f aca="false">HYPERLINK("https://mncourtfraud.com/file/27-CR-20-9036.pdf","27-CR-20-9036")</f>
        <v>27-CR-20-9036</v>
      </c>
      <c r="D176" s="3" t="s">
        <v>468</v>
      </c>
      <c r="E176" s="8" t="str">
        <f aca="false">HYPERLINK("https://mncourtfraud.com/file/MCRO_27-CR-20-9036_Notice of Remote Hearing with Instructions_2021-02-16_20240430085556.pdf","MCRO_27-CR-20-9036_Notice of Remote Hearing with Instructions_2021-02-16_20240430085556.pdf")</f>
        <v>MCRO_27-CR-20-9036_Notice of Remote Hearing with Instructions_2021-02-16_20240430085556.pdf</v>
      </c>
      <c r="F176" s="1" t="s">
        <v>1140</v>
      </c>
      <c r="G176" s="9" t="n">
        <v>44243</v>
      </c>
      <c r="H176" s="1" t="n">
        <v>1</v>
      </c>
    </row>
    <row r="177" customFormat="false" ht="18.7" hidden="false" customHeight="true" outlineLevel="0" collapsed="false">
      <c r="A177" s="1" t="n">
        <v>176</v>
      </c>
      <c r="B177" s="7" t="str">
        <f aca="false">HYPERLINK("https://mncourtfraud.com/file/MDL-30.zip","MDL-30.zip")</f>
        <v>MDL-30.zip</v>
      </c>
      <c r="C177" s="8" t="str">
        <f aca="false">HYPERLINK("https://mncourtfraud.com/file/27-CR-21-1230.pdf","27-CR-21-1230")</f>
        <v>27-CR-21-1230</v>
      </c>
      <c r="D177" s="3" t="s">
        <v>468</v>
      </c>
      <c r="E177" s="8" t="str">
        <f aca="false">HYPERLINK("https://mncourtfraud.com/file/MCRO_27-CR-21-1230_Notice of Remote Hearing with Instructions_2021-02-16_20240430075454.pdf","MCRO_27-CR-21-1230_Notice of Remote Hearing with Instructions_2021-02-16_20240430075454.pdf")</f>
        <v>MCRO_27-CR-21-1230_Notice of Remote Hearing with Instructions_2021-02-16_20240430075454.pdf</v>
      </c>
      <c r="F177" s="1" t="s">
        <v>1141</v>
      </c>
      <c r="G177" s="9" t="n">
        <v>44243</v>
      </c>
      <c r="H177" s="1" t="n">
        <v>1</v>
      </c>
    </row>
    <row r="178" customFormat="false" ht="18.7" hidden="false" customHeight="true" outlineLevel="0" collapsed="false">
      <c r="A178" s="1" t="n">
        <v>177</v>
      </c>
      <c r="B178" s="7" t="str">
        <f aca="false">HYPERLINK("https://mncourtfraud.com/file/MDL-30.zip","MDL-30.zip")</f>
        <v>MDL-30.zip</v>
      </c>
      <c r="C178" s="8" t="str">
        <f aca="false">HYPERLINK("https://mncourtfraud.com/file/27-CR-21-1230.pdf","27-CR-21-1230")</f>
        <v>27-CR-21-1230</v>
      </c>
      <c r="D178" s="3" t="s">
        <v>468</v>
      </c>
      <c r="E178" s="8" t="str">
        <f aca="false">HYPERLINK("https://mncourtfraud.com/file/MCRO_27-CR-21-1230_Non-Cash Bond Posted_2021-04-25_20240430075449.pdf","MCRO_27-CR-21-1230_Non-Cash Bond Posted_2021-04-25_20240430075449.pdf")</f>
        <v>MCRO_27-CR-21-1230_Non-Cash Bond Posted_2021-04-25_20240430075449.pdf</v>
      </c>
      <c r="F178" s="1" t="s">
        <v>1142</v>
      </c>
      <c r="G178" s="9" t="n">
        <v>44311</v>
      </c>
      <c r="H178" s="1" t="n">
        <v>1</v>
      </c>
    </row>
    <row r="179" customFormat="false" ht="18.7" hidden="false" customHeight="true" outlineLevel="0" collapsed="false">
      <c r="A179" s="1" t="n">
        <v>178</v>
      </c>
      <c r="B179" s="7" t="str">
        <f aca="false">HYPERLINK("https://mncourtfraud.com/file/MDL-30.zip","MDL-30.zip")</f>
        <v>MDL-30.zip</v>
      </c>
      <c r="C179" s="8" t="str">
        <f aca="false">HYPERLINK("https://mncourtfraud.com/file/27-CR-19-11566.pdf","27-CR-19-11566")</f>
        <v>27-CR-19-11566</v>
      </c>
      <c r="D179" s="3" t="s">
        <v>468</v>
      </c>
      <c r="E179" s="8" t="str">
        <f aca="false">HYPERLINK("https://mncourtfraud.com/file/MCRO_27-CR-19-11566_Notice of Case Reassignment_2021-08-25_20240430091619.pdf","MCRO_27-CR-19-11566_Notice of Case Reassignment_2021-08-25_20240430091619.pdf")</f>
        <v>MCRO_27-CR-19-11566_Notice of Case Reassignment_2021-08-25_20240430091619.pdf</v>
      </c>
      <c r="F179" s="1" t="s">
        <v>1143</v>
      </c>
      <c r="G179" s="9" t="n">
        <v>44433</v>
      </c>
      <c r="H179" s="1" t="n">
        <v>1</v>
      </c>
    </row>
    <row r="180" customFormat="false" ht="18.7" hidden="false" customHeight="true" outlineLevel="0" collapsed="false">
      <c r="A180" s="1" t="n">
        <v>179</v>
      </c>
      <c r="B180" s="7" t="str">
        <f aca="false">HYPERLINK("https://mncourtfraud.com/file/MDL-30.zip","MDL-30.zip")</f>
        <v>MDL-30.zip</v>
      </c>
      <c r="C180" s="8" t="str">
        <f aca="false">HYPERLINK("https://mncourtfraud.com/file/27-CR-19-12130.pdf","27-CR-19-12130")</f>
        <v>27-CR-19-12130</v>
      </c>
      <c r="D180" s="3" t="s">
        <v>468</v>
      </c>
      <c r="E180" s="8" t="str">
        <f aca="false">HYPERLINK("https://mncourtfraud.com/file/MCRO_27-CR-19-12130_Notice of Case Reassignment_2021-08-25_20240430091723.pdf","MCRO_27-CR-19-12130_Notice of Case Reassignment_2021-08-25_20240430091723.pdf")</f>
        <v>MCRO_27-CR-19-12130_Notice of Case Reassignment_2021-08-25_20240430091723.pdf</v>
      </c>
      <c r="F180" s="1" t="s">
        <v>1144</v>
      </c>
      <c r="G180" s="9" t="n">
        <v>44433</v>
      </c>
      <c r="H180" s="1" t="n">
        <v>1</v>
      </c>
    </row>
    <row r="181" customFormat="false" ht="18.7" hidden="false" customHeight="true" outlineLevel="0" collapsed="false">
      <c r="A181" s="1" t="n">
        <v>180</v>
      </c>
      <c r="B181" s="7" t="str">
        <f aca="false">HYPERLINK("https://mncourtfraud.com/file/MDL-30.zip","MDL-30.zip")</f>
        <v>MDL-30.zip</v>
      </c>
      <c r="C181" s="8" t="str">
        <f aca="false">HYPERLINK("https://mncourtfraud.com/file/27-CR-20-20851.pdf","27-CR-20-20851")</f>
        <v>27-CR-20-20851</v>
      </c>
      <c r="D181" s="3" t="s">
        <v>483</v>
      </c>
      <c r="E181" s="8" t="str">
        <f aca="false">HYPERLINK("https://mncourtfraud.com/file/MCRO_27-CR-20-20851_Notice of Case Reassignment_2021-08-25_20240430090349.pdf","MCRO_27-CR-20-20851_Notice of Case Reassignment_2021-08-25_20240430090349.pdf")</f>
        <v>MCRO_27-CR-20-20851_Notice of Case Reassignment_2021-08-25_20240430090349.pdf</v>
      </c>
      <c r="F181" s="1" t="s">
        <v>1145</v>
      </c>
      <c r="G181" s="9" t="n">
        <v>44433</v>
      </c>
      <c r="H181" s="1" t="n">
        <v>1</v>
      </c>
    </row>
    <row r="182" customFormat="false" ht="18.7" hidden="false" customHeight="true" outlineLevel="0" collapsed="false">
      <c r="A182" s="1" t="n">
        <v>181</v>
      </c>
      <c r="B182" s="7" t="str">
        <f aca="false">HYPERLINK("https://mncourtfraud.com/file/MDL-30.zip","MDL-30.zip")</f>
        <v>MDL-30.zip</v>
      </c>
      <c r="C182" s="8" t="str">
        <f aca="false">HYPERLINK("https://mncourtfraud.com/file/27-CR-20-9036.pdf","27-CR-20-9036")</f>
        <v>27-CR-20-9036</v>
      </c>
      <c r="D182" s="3" t="s">
        <v>468</v>
      </c>
      <c r="E182" s="8" t="str">
        <f aca="false">HYPERLINK("https://mncourtfraud.com/file/MCRO_27-CR-20-9036_Notice of Case Reassignment_2021-08-25_20240430085552.pdf","MCRO_27-CR-20-9036_Notice of Case Reassignment_2021-08-25_20240430085552.pdf")</f>
        <v>MCRO_27-CR-20-9036_Notice of Case Reassignment_2021-08-25_20240430085552.pdf</v>
      </c>
      <c r="F182" s="1" t="s">
        <v>1146</v>
      </c>
      <c r="G182" s="9" t="n">
        <v>44433</v>
      </c>
      <c r="H182" s="1" t="n">
        <v>1</v>
      </c>
    </row>
    <row r="183" customFormat="false" ht="18.7" hidden="false" customHeight="true" outlineLevel="0" collapsed="false">
      <c r="A183" s="1" t="n">
        <v>182</v>
      </c>
      <c r="B183" s="7" t="str">
        <f aca="false">HYPERLINK("https://mncourtfraud.com/file/MDL-30.zip","MDL-30.zip")</f>
        <v>MDL-30.zip</v>
      </c>
      <c r="C183" s="8" t="str">
        <f aca="false">HYPERLINK("https://mncourtfraud.com/file/27-CR-21-1230.pdf","27-CR-21-1230")</f>
        <v>27-CR-21-1230</v>
      </c>
      <c r="D183" s="3" t="s">
        <v>468</v>
      </c>
      <c r="E183" s="8" t="str">
        <f aca="false">HYPERLINK("https://mncourtfraud.com/file/MCRO_27-CR-21-1230_Notice of Case Reassignment_2021-08-25_20240430075444.pdf","MCRO_27-CR-21-1230_Notice of Case Reassignment_2021-08-25_20240430075444.pdf")</f>
        <v>MCRO_27-CR-21-1230_Notice of Case Reassignment_2021-08-25_20240430075444.pdf</v>
      </c>
      <c r="F183" s="1" t="s">
        <v>1147</v>
      </c>
      <c r="G183" s="9" t="n">
        <v>44433</v>
      </c>
      <c r="H183" s="1" t="n">
        <v>1</v>
      </c>
    </row>
    <row r="184" customFormat="false" ht="18.7" hidden="false" customHeight="true" outlineLevel="0" collapsed="false">
      <c r="A184" s="1" t="n">
        <v>183</v>
      </c>
      <c r="B184" s="7" t="str">
        <f aca="false">HYPERLINK("https://mncourtfraud.com/file/MDL-30.zip","MDL-30.zip")</f>
        <v>MDL-30.zip</v>
      </c>
      <c r="C184" s="8" t="str">
        <f aca="false">HYPERLINK("https://mncourtfraud.com/file/27-CR-21-13752.pdf","27-CR-21-13752")</f>
        <v>27-CR-21-13752</v>
      </c>
      <c r="D184" s="3" t="s">
        <v>468</v>
      </c>
      <c r="E184" s="8" t="str">
        <f aca="false">HYPERLINK("https://mncourtfraud.com/file/MCRO_27-CR-21-13752_Notice of Case Reassignment_2021-08-25_20240430082358.pdf","MCRO_27-CR-21-13752_Notice of Case Reassignment_2021-08-25_20240430082358.pdf")</f>
        <v>MCRO_27-CR-21-13752_Notice of Case Reassignment_2021-08-25_20240430082358.pdf</v>
      </c>
      <c r="F184" s="1" t="s">
        <v>1148</v>
      </c>
      <c r="G184" s="9" t="n">
        <v>44433</v>
      </c>
      <c r="H184" s="1" t="n">
        <v>1</v>
      </c>
    </row>
    <row r="185" customFormat="false" ht="18.7" hidden="false" customHeight="true" outlineLevel="0" collapsed="false">
      <c r="A185" s="1" t="n">
        <v>184</v>
      </c>
      <c r="B185" s="7" t="str">
        <f aca="false">HYPERLINK("https://mncourtfraud.com/file/MDL-30.zip","MDL-30.zip")</f>
        <v>MDL-30.zip</v>
      </c>
      <c r="C185" s="8" t="str">
        <f aca="false">HYPERLINK("https://mncourtfraud.com/file/27-CR-21-1230.pdf","27-CR-21-1230")</f>
        <v>27-CR-21-1230</v>
      </c>
      <c r="D185" s="3" t="s">
        <v>468</v>
      </c>
      <c r="E185" s="8" t="str">
        <f aca="false">HYPERLINK("https://mncourtfraud.com/file/MCRO_27-CR-21-1230_Order Forfeiting Cash Bond or Surety Bond_2023-01-12_20240430075436.pdf","MCRO_27-CR-21-1230_Order Forfeiting Cash Bond or Surety Bond_2023-01-12_20240430075436.pdf")</f>
        <v>MCRO_27-CR-21-1230_Order Forfeiting Cash Bond or Surety Bond_2023-01-12_20240430075436.pdf</v>
      </c>
      <c r="F185" s="1" t="s">
        <v>1149</v>
      </c>
      <c r="G185" s="9" t="n">
        <v>44938</v>
      </c>
      <c r="H185" s="1" t="n">
        <v>1</v>
      </c>
    </row>
    <row r="186" customFormat="false" ht="18.7" hidden="false" customHeight="true" outlineLevel="0" collapsed="false">
      <c r="A186" s="1" t="n">
        <v>185</v>
      </c>
      <c r="B186" s="7" t="str">
        <f aca="false">HYPERLINK("https://mncourtfraud.com/file/MDL-30.zip","MDL-30.zip")</f>
        <v>MDL-30.zip</v>
      </c>
      <c r="C186" s="8" t="str">
        <f aca="false">HYPERLINK("https://mncourtfraud.com/file/27-CR-21-13752.pdf","27-CR-21-13752")</f>
        <v>27-CR-21-13752</v>
      </c>
      <c r="D186" s="3" t="s">
        <v>468</v>
      </c>
      <c r="E186" s="8" t="str">
        <f aca="false">HYPERLINK("https://mncourtfraud.com/file/MCRO_27-CR-21-13752_Order Forfeiting Cash Bond or Surety Bond_2023-01-12_20240430082347.pdf","MCRO_27-CR-21-13752_Order Forfeiting Cash Bond or Surety Bond_2023-01-12_20240430082347.pdf")</f>
        <v>MCRO_27-CR-21-13752_Order Forfeiting Cash Bond or Surety Bond_2023-01-12_20240430082347.pdf</v>
      </c>
      <c r="F186" s="1" t="s">
        <v>1150</v>
      </c>
      <c r="G186" s="9" t="n">
        <v>44938</v>
      </c>
      <c r="H186" s="1" t="n">
        <v>1</v>
      </c>
    </row>
    <row r="187" customFormat="false" ht="18.7" hidden="false" customHeight="true" outlineLevel="0" collapsed="false">
      <c r="A187" s="1" t="n">
        <v>186</v>
      </c>
      <c r="B187" s="7" t="str">
        <f aca="false">HYPERLINK("https://mncourtfraud.com/file/MDL-30.zip","MDL-30.zip")</f>
        <v>MDL-30.zip</v>
      </c>
      <c r="C187" s="8" t="str">
        <f aca="false">HYPERLINK("https://mncourtfraud.com/file/27-CR-19-11566.pdf","27-CR-19-11566")</f>
        <v>27-CR-19-11566</v>
      </c>
      <c r="D187" s="3" t="s">
        <v>468</v>
      </c>
      <c r="E187" s="8" t="str">
        <f aca="false">HYPERLINK("https://mncourtfraud.com/file/MCRO_27-CR-19-11566_Notice of Hearing_2023-04-06_20240430091613.pdf","MCRO_27-CR-19-11566_Notice of Hearing_2023-04-06_20240430091613.pdf")</f>
        <v>MCRO_27-CR-19-11566_Notice of Hearing_2023-04-06_20240430091613.pdf</v>
      </c>
      <c r="F187" s="1" t="s">
        <v>1151</v>
      </c>
      <c r="G187" s="9" t="n">
        <v>45022</v>
      </c>
      <c r="H187" s="1" t="n">
        <v>1</v>
      </c>
    </row>
    <row r="188" customFormat="false" ht="18.7" hidden="false" customHeight="true" outlineLevel="0" collapsed="false">
      <c r="A188" s="1" t="n">
        <v>187</v>
      </c>
      <c r="B188" s="7" t="str">
        <f aca="false">HYPERLINK("https://mncourtfraud.com/file/MDL-30.zip","MDL-30.zip")</f>
        <v>MDL-30.zip</v>
      </c>
      <c r="C188" s="8" t="str">
        <f aca="false">HYPERLINK("https://mncourtfraud.com/file/27-CR-19-12130.pdf","27-CR-19-12130")</f>
        <v>27-CR-19-12130</v>
      </c>
      <c r="D188" s="3" t="s">
        <v>468</v>
      </c>
      <c r="E188" s="8" t="str">
        <f aca="false">HYPERLINK("https://mncourtfraud.com/file/MCRO_27-CR-19-12130_Notice of Hearing_2023-04-06_20240430091719.pdf","MCRO_27-CR-19-12130_Notice of Hearing_2023-04-06_20240430091719.pdf")</f>
        <v>MCRO_27-CR-19-12130_Notice of Hearing_2023-04-06_20240430091719.pdf</v>
      </c>
      <c r="F188" s="1" t="s">
        <v>1152</v>
      </c>
      <c r="G188" s="9" t="n">
        <v>45022</v>
      </c>
      <c r="H188" s="1" t="n">
        <v>1</v>
      </c>
    </row>
    <row r="189" customFormat="false" ht="18.7" hidden="false" customHeight="true" outlineLevel="0" collapsed="false">
      <c r="A189" s="1" t="n">
        <v>188</v>
      </c>
      <c r="B189" s="7" t="str">
        <f aca="false">HYPERLINK("https://mncourtfraud.com/file/MDL-30.zip","MDL-30.zip")</f>
        <v>MDL-30.zip</v>
      </c>
      <c r="C189" s="8" t="str">
        <f aca="false">HYPERLINK("https://mncourtfraud.com/file/27-CR-20-20851.pdf","27-CR-20-20851")</f>
        <v>27-CR-20-20851</v>
      </c>
      <c r="D189" s="3" t="s">
        <v>483</v>
      </c>
      <c r="E189" s="8" t="str">
        <f aca="false">HYPERLINK("https://mncourtfraud.com/file/MCRO_27-CR-20-20851_Notice of Hearing_2023-04-06_20240430090337.pdf","MCRO_27-CR-20-20851_Notice of Hearing_2023-04-06_20240430090337.pdf")</f>
        <v>MCRO_27-CR-20-20851_Notice of Hearing_2023-04-06_20240430090337.pdf</v>
      </c>
      <c r="F189" s="1" t="s">
        <v>1153</v>
      </c>
      <c r="G189" s="9" t="n">
        <v>45022</v>
      </c>
      <c r="H189" s="1" t="n">
        <v>1</v>
      </c>
    </row>
    <row r="190" customFormat="false" ht="18.7" hidden="false" customHeight="true" outlineLevel="0" collapsed="false">
      <c r="A190" s="1" t="n">
        <v>189</v>
      </c>
      <c r="B190" s="7" t="str">
        <f aca="false">HYPERLINK("https://mncourtfraud.com/file/MDL-30.zip","MDL-30.zip")</f>
        <v>MDL-30.zip</v>
      </c>
      <c r="C190" s="8" t="str">
        <f aca="false">HYPERLINK("https://mncourtfraud.com/file/27-CR-20-9036.pdf","27-CR-20-9036")</f>
        <v>27-CR-20-9036</v>
      </c>
      <c r="D190" s="3" t="s">
        <v>468</v>
      </c>
      <c r="E190" s="8" t="str">
        <f aca="false">HYPERLINK("https://mncourtfraud.com/file/MCRO_27-CR-20-9036_Notice of Hearing_2023-04-06_20240430085548.pdf","MCRO_27-CR-20-9036_Notice of Hearing_2023-04-06_20240430085548.pdf")</f>
        <v>MCRO_27-CR-20-9036_Notice of Hearing_2023-04-06_20240430085548.pdf</v>
      </c>
      <c r="F190" s="1" t="s">
        <v>1154</v>
      </c>
      <c r="G190" s="9" t="n">
        <v>45022</v>
      </c>
      <c r="H190" s="1" t="n">
        <v>1</v>
      </c>
    </row>
    <row r="191" customFormat="false" ht="18.7" hidden="false" customHeight="true" outlineLevel="0" collapsed="false">
      <c r="A191" s="1" t="n">
        <v>190</v>
      </c>
      <c r="B191" s="7" t="str">
        <f aca="false">HYPERLINK("https://mncourtfraud.com/file/MDL-30.zip","MDL-30.zip")</f>
        <v>MDL-30.zip</v>
      </c>
      <c r="C191" s="8" t="str">
        <f aca="false">HYPERLINK("https://mncourtfraud.com/file/27-CR-21-1230.pdf","27-CR-21-1230")</f>
        <v>27-CR-21-1230</v>
      </c>
      <c r="D191" s="3" t="s">
        <v>468</v>
      </c>
      <c r="E191" s="8" t="str">
        <f aca="false">HYPERLINK("https://mncourtfraud.com/file/MCRO_27-CR-21-1230_Notice of Hearing_2023-04-06_20240430075425.pdf","MCRO_27-CR-21-1230_Notice of Hearing_2023-04-06_20240430075425.pdf")</f>
        <v>MCRO_27-CR-21-1230_Notice of Hearing_2023-04-06_20240430075425.pdf</v>
      </c>
      <c r="F191" s="1" t="s">
        <v>1155</v>
      </c>
      <c r="G191" s="9" t="n">
        <v>45022</v>
      </c>
      <c r="H191" s="1" t="n">
        <v>1</v>
      </c>
    </row>
    <row r="192" customFormat="false" ht="18.7" hidden="false" customHeight="true" outlineLevel="0" collapsed="false">
      <c r="A192" s="1" t="n">
        <v>191</v>
      </c>
      <c r="B192" s="7" t="str">
        <f aca="false">HYPERLINK("https://mncourtfraud.com/file/MDL-30.zip","MDL-30.zip")</f>
        <v>MDL-30.zip</v>
      </c>
      <c r="C192" s="8" t="str">
        <f aca="false">HYPERLINK("https://mncourtfraud.com/file/27-CR-21-13752.pdf","27-CR-21-13752")</f>
        <v>27-CR-21-13752</v>
      </c>
      <c r="D192" s="3" t="s">
        <v>468</v>
      </c>
      <c r="E192" s="8" t="str">
        <f aca="false">HYPERLINK("https://mncourtfraud.com/file/MCRO_27-CR-21-13752_Notice of Hearing_2023-04-06_20240430082337.pdf","MCRO_27-CR-21-13752_Notice of Hearing_2023-04-06_20240430082337.pdf")</f>
        <v>MCRO_27-CR-21-13752_Notice of Hearing_2023-04-06_20240430082337.pdf</v>
      </c>
      <c r="F192" s="1" t="s">
        <v>1156</v>
      </c>
      <c r="G192" s="9" t="n">
        <v>45022</v>
      </c>
      <c r="H192" s="1" t="n">
        <v>1</v>
      </c>
    </row>
    <row r="193" customFormat="false" ht="18.7" hidden="false" customHeight="true" outlineLevel="0" collapsed="false">
      <c r="A193" s="1" t="n">
        <v>192</v>
      </c>
      <c r="B193" s="7" t="str">
        <f aca="false">HYPERLINK("https://mncourtfraud.com/file/MDL-30.zip","MDL-30.zip")</f>
        <v>MDL-30.zip</v>
      </c>
      <c r="C193" s="8" t="str">
        <f aca="false">HYPERLINK("https://mncourtfraud.com/file/27-CR-22-10055.pdf","27-CR-22-10055")</f>
        <v>27-CR-22-10055</v>
      </c>
      <c r="D193" s="3" t="s">
        <v>487</v>
      </c>
      <c r="E193" s="8" t="str">
        <f aca="false">HYPERLINK("https://mncourtfraud.com/file/MCRO_27-CR-22-10055_Notice of Hearing_2023-04-06_20240429152801.pdf","MCRO_27-CR-22-10055_Notice of Hearing_2023-04-06_20240429152801.pdf")</f>
        <v>MCRO_27-CR-22-10055_Notice of Hearing_2023-04-06_20240429152801.pdf</v>
      </c>
      <c r="F193" s="1" t="s">
        <v>1157</v>
      </c>
      <c r="G193" s="9" t="n">
        <v>45022</v>
      </c>
      <c r="H193" s="1" t="n">
        <v>1</v>
      </c>
    </row>
    <row r="194" customFormat="false" ht="18.7" hidden="false" customHeight="true" outlineLevel="0" collapsed="false">
      <c r="A194" s="1" t="n">
        <v>193</v>
      </c>
      <c r="B194" s="7" t="str">
        <f aca="false">HYPERLINK("https://mncourtfraud.com/file/MDL-30.zip","MDL-30.zip")</f>
        <v>MDL-30.zip</v>
      </c>
      <c r="C194" s="8" t="str">
        <f aca="false">HYPERLINK("https://mncourtfraud.com/file/27-CR-19-11566.pdf","27-CR-19-11566")</f>
        <v>27-CR-19-11566</v>
      </c>
      <c r="D194" s="3" t="s">
        <v>468</v>
      </c>
      <c r="E194" s="8" t="str">
        <f aca="false">HYPERLINK("https://mncourtfraud.com/file/MCRO_27-CR-19-11566_Order-Evaluation for Competency to Proceed (Rule 20.01)_2023-10-10_20240430091601.pdf","MCRO_27-CR-19-11566_Order-Evaluation for Competency to Proceed (Rule 20.01)_2023-10-10_20240430091601.pdf")</f>
        <v>MCRO_27-CR-19-11566_Order-Evaluation for Competency to Proceed (Rule 20.01)_2023-10-10_20240430091601.pdf</v>
      </c>
      <c r="F194" s="1" t="s">
        <v>533</v>
      </c>
      <c r="G194" s="9" t="n">
        <v>45209</v>
      </c>
      <c r="H194" s="1" t="n">
        <v>1</v>
      </c>
    </row>
    <row r="195" customFormat="false" ht="18.7" hidden="false" customHeight="true" outlineLevel="0" collapsed="false">
      <c r="A195" s="1" t="n">
        <v>194</v>
      </c>
      <c r="B195" s="7" t="str">
        <f aca="false">HYPERLINK("https://mncourtfraud.com/file/MDL-30.zip","MDL-30.zip")</f>
        <v>MDL-30.zip</v>
      </c>
      <c r="C195" s="8" t="str">
        <f aca="false">HYPERLINK("https://mncourtfraud.com/file/27-CR-19-12130.pdf","27-CR-19-12130")</f>
        <v>27-CR-19-12130</v>
      </c>
      <c r="D195" s="3" t="s">
        <v>468</v>
      </c>
      <c r="E195" s="8" t="str">
        <f aca="false">HYPERLINK("https://mncourtfraud.com/file/MCRO_27-CR-19-12130_Order-Evaluation for Competency to Proceed (Rule 20.01)_2023-10-10_20240430091708.pdf","MCRO_27-CR-19-12130_Order-Evaluation for Competency to Proceed (Rule 20.01)_2023-10-10_20240430091708.pdf")</f>
        <v>MCRO_27-CR-19-12130_Order-Evaluation for Competency to Proceed (Rule 20.01)_2023-10-10_20240430091708.pdf</v>
      </c>
      <c r="F195" s="1" t="s">
        <v>533</v>
      </c>
      <c r="G195" s="9" t="n">
        <v>45209</v>
      </c>
      <c r="H195" s="1" t="n">
        <v>1</v>
      </c>
    </row>
    <row r="196" customFormat="false" ht="18.7" hidden="false" customHeight="true" outlineLevel="0" collapsed="false">
      <c r="A196" s="1" t="n">
        <v>195</v>
      </c>
      <c r="B196" s="7" t="str">
        <f aca="false">HYPERLINK("https://mncourtfraud.com/file/MDL-30.zip","MDL-30.zip")</f>
        <v>MDL-30.zip</v>
      </c>
      <c r="C196" s="8" t="str">
        <f aca="false">HYPERLINK("https://mncourtfraud.com/file/27-CR-20-20851.pdf","27-CR-20-20851")</f>
        <v>27-CR-20-20851</v>
      </c>
      <c r="D196" s="3" t="s">
        <v>483</v>
      </c>
      <c r="E196" s="8" t="str">
        <f aca="false">HYPERLINK("https://mncourtfraud.com/file/MCRO_27-CR-20-20851_Order-Evaluation for Competency to Proceed (Rule 20.01)_2023-10-10_20240430090325.pdf","MCRO_27-CR-20-20851_Order-Evaluation for Competency to Proceed (Rule 20.01)_2023-10-10_20240430090325.pdf")</f>
        <v>MCRO_27-CR-20-20851_Order-Evaluation for Competency to Proceed (Rule 20.01)_2023-10-10_20240430090325.pdf</v>
      </c>
      <c r="F196" s="1" t="s">
        <v>533</v>
      </c>
      <c r="G196" s="9" t="n">
        <v>45209</v>
      </c>
      <c r="H196" s="1" t="n">
        <v>1</v>
      </c>
    </row>
    <row r="197" customFormat="false" ht="18.7" hidden="false" customHeight="true" outlineLevel="0" collapsed="false">
      <c r="A197" s="1" t="n">
        <v>196</v>
      </c>
      <c r="B197" s="7" t="str">
        <f aca="false">HYPERLINK("https://mncourtfraud.com/file/MDL-30.zip","MDL-30.zip")</f>
        <v>MDL-30.zip</v>
      </c>
      <c r="C197" s="8" t="str">
        <f aca="false">HYPERLINK("https://mncourtfraud.com/file/27-CR-20-9036.pdf","27-CR-20-9036")</f>
        <v>27-CR-20-9036</v>
      </c>
      <c r="D197" s="3" t="s">
        <v>468</v>
      </c>
      <c r="E197" s="8" t="str">
        <f aca="false">HYPERLINK("https://mncourtfraud.com/file/MCRO_27-CR-20-9036_Order-Evaluation for Competency to Proceed (Rule 20.01)_2023-10-10_20240430085537.pdf","MCRO_27-CR-20-9036_Order-Evaluation for Competency to Proceed (Rule 20.01)_2023-10-10_20240430085537.pdf")</f>
        <v>MCRO_27-CR-20-9036_Order-Evaluation for Competency to Proceed (Rule 20.01)_2023-10-10_20240430085537.pdf</v>
      </c>
      <c r="F197" s="1" t="s">
        <v>533</v>
      </c>
      <c r="G197" s="9" t="n">
        <v>45209</v>
      </c>
      <c r="H197" s="1" t="n">
        <v>1</v>
      </c>
    </row>
    <row r="198" customFormat="false" ht="18.7" hidden="false" customHeight="true" outlineLevel="0" collapsed="false">
      <c r="A198" s="1" t="n">
        <v>197</v>
      </c>
      <c r="B198" s="7" t="str">
        <f aca="false">HYPERLINK("https://mncourtfraud.com/file/MDL-30.zip","MDL-30.zip")</f>
        <v>MDL-30.zip</v>
      </c>
      <c r="C198" s="8" t="str">
        <f aca="false">HYPERLINK("https://mncourtfraud.com/file/27-CR-21-1230.pdf","27-CR-21-1230")</f>
        <v>27-CR-21-1230</v>
      </c>
      <c r="D198" s="3" t="s">
        <v>468</v>
      </c>
      <c r="E198" s="8" t="str">
        <f aca="false">HYPERLINK("https://mncourtfraud.com/file/MCRO_27-CR-21-1230_Order-Evaluation for Competency to Proceed (Rule 20.01)_2023-10-10_20240430075409.pdf","MCRO_27-CR-21-1230_Order-Evaluation for Competency to Proceed (Rule 20.01)_2023-10-10_20240430075409.pdf")</f>
        <v>MCRO_27-CR-21-1230_Order-Evaluation for Competency to Proceed (Rule 20.01)_2023-10-10_20240430075409.pdf</v>
      </c>
      <c r="F198" s="1" t="s">
        <v>533</v>
      </c>
      <c r="G198" s="9" t="n">
        <v>45209</v>
      </c>
      <c r="H198" s="1" t="n">
        <v>1</v>
      </c>
    </row>
    <row r="199" customFormat="false" ht="18.7" hidden="false" customHeight="true" outlineLevel="0" collapsed="false">
      <c r="A199" s="1" t="n">
        <v>198</v>
      </c>
      <c r="B199" s="7" t="str">
        <f aca="false">HYPERLINK("https://mncourtfraud.com/file/MDL-30.zip","MDL-30.zip")</f>
        <v>MDL-30.zip</v>
      </c>
      <c r="C199" s="8" t="str">
        <f aca="false">HYPERLINK("https://mncourtfraud.com/file/27-CR-21-13752.pdf","27-CR-21-13752")</f>
        <v>27-CR-21-13752</v>
      </c>
      <c r="D199" s="3" t="s">
        <v>468</v>
      </c>
      <c r="E199" s="8" t="str">
        <f aca="false">HYPERLINK("https://mncourtfraud.com/file/MCRO_27-CR-21-13752_Order-Evaluation for Competency to Proceed (Rule 20.01)_2023-10-10_20240430082321.pdf","MCRO_27-CR-21-13752_Order-Evaluation for Competency to Proceed (Rule 20.01)_2023-10-10_20240430082321.pdf")</f>
        <v>MCRO_27-CR-21-13752_Order-Evaluation for Competency to Proceed (Rule 20.01)_2023-10-10_20240430082321.pdf</v>
      </c>
      <c r="F199" s="1" t="s">
        <v>533</v>
      </c>
      <c r="G199" s="9" t="n">
        <v>45209</v>
      </c>
      <c r="H199" s="1" t="n">
        <v>1</v>
      </c>
    </row>
    <row r="200" customFormat="false" ht="18.7" hidden="false" customHeight="true" outlineLevel="0" collapsed="false">
      <c r="A200" s="1" t="n">
        <v>199</v>
      </c>
      <c r="B200" s="7" t="str">
        <f aca="false">HYPERLINK("https://mncourtfraud.com/file/MDL-30.zip","MDL-30.zip")</f>
        <v>MDL-30.zip</v>
      </c>
      <c r="C200" s="8" t="str">
        <f aca="false">HYPERLINK("https://mncourtfraud.com/file/27-CR-22-10055.pdf","27-CR-22-10055")</f>
        <v>27-CR-22-10055</v>
      </c>
      <c r="D200" s="3" t="s">
        <v>487</v>
      </c>
      <c r="E200" s="8" t="str">
        <f aca="false">HYPERLINK("https://mncourtfraud.com/file/MCRO_27-CR-22-10055_Order-Evaluation for Competency to Proceed (Rule 20.01)_2023-10-10_20240429152748.pdf","MCRO_27-CR-22-10055_Order-Evaluation for Competency to Proceed (Rule 20.01)_2023-10-10_20240429152748.pdf")</f>
        <v>MCRO_27-CR-22-10055_Order-Evaluation for Competency to Proceed (Rule 20.01)_2023-10-10_20240429152748.pdf</v>
      </c>
      <c r="F200" s="1" t="s">
        <v>533</v>
      </c>
      <c r="G200" s="9" t="n">
        <v>45209</v>
      </c>
      <c r="H200" s="1" t="n">
        <v>1</v>
      </c>
    </row>
    <row r="201" customFormat="false" ht="18.7" hidden="false" customHeight="true" outlineLevel="0" collapsed="false">
      <c r="A201" s="1" t="n">
        <v>200</v>
      </c>
      <c r="G201" s="9"/>
    </row>
    <row r="202" customFormat="false" ht="18.7" hidden="false" customHeight="true" outlineLevel="0" collapsed="false">
      <c r="A202" s="1" t="n">
        <v>201</v>
      </c>
      <c r="B202" s="7" t="str">
        <f aca="false">HYPERLINK("https://mncourtfraud.com/file/PJD-5.zip","PJD-5.zip")</f>
        <v>PJD-5.zip</v>
      </c>
      <c r="C202" s="8" t="str">
        <f aca="false">HYPERLINK("https://mncourtfraud.com/file/27-CR-20-6301.pdf","27-CR-20-6301")</f>
        <v>27-CR-20-6301</v>
      </c>
      <c r="D202" s="3" t="s">
        <v>567</v>
      </c>
      <c r="E202" s="8" t="str">
        <f aca="false">HYPERLINK("https://mncourtfraud.com/file/MCRO_27-CR-20-6301_Notice of Hearing_2023-06-05_20240430085132.pdf","MCRO_27-CR-20-6301_Notice of Hearing_2023-06-05_20240430085132.pdf")</f>
        <v>MCRO_27-CR-20-6301_Notice of Hearing_2023-06-05_20240430085132.pdf</v>
      </c>
      <c r="F202" s="1" t="s">
        <v>583</v>
      </c>
      <c r="G202" s="9" t="n">
        <v>45082</v>
      </c>
      <c r="H202" s="1" t="n">
        <v>2</v>
      </c>
    </row>
    <row r="203" customFormat="false" ht="18.7" hidden="false" customHeight="true" outlineLevel="0" collapsed="false">
      <c r="A203" s="1" t="n">
        <v>202</v>
      </c>
      <c r="B203" s="7" t="str">
        <f aca="false">HYPERLINK("https://mncourtfraud.com/file/PJD-5.zip","PJD-5.zip")</f>
        <v>PJD-5.zip</v>
      </c>
      <c r="C203" s="8" t="str">
        <f aca="false">HYPERLINK("https://mncourtfraud.com/file/27-CR-21-6382.pdf","27-CR-21-6382")</f>
        <v>27-CR-21-6382</v>
      </c>
      <c r="D203" s="3" t="s">
        <v>567</v>
      </c>
      <c r="E203" s="8" t="str">
        <f aca="false">HYPERLINK("https://mncourtfraud.com/file/MCRO_27-CR-21-6382_Notice of Hearing_2023-06-05_20240430080312.pdf","MCRO_27-CR-21-6382_Notice of Hearing_2023-06-05_20240430080312.pdf")</f>
        <v>MCRO_27-CR-21-6382_Notice of Hearing_2023-06-05_20240430080312.pdf</v>
      </c>
      <c r="F203" s="1" t="s">
        <v>583</v>
      </c>
      <c r="G203" s="9" t="n">
        <v>45082</v>
      </c>
      <c r="H203" s="1" t="n">
        <v>2</v>
      </c>
    </row>
    <row r="204" customFormat="false" ht="18.7" hidden="false" customHeight="true" outlineLevel="0" collapsed="false">
      <c r="A204" s="1" t="n">
        <v>203</v>
      </c>
      <c r="B204" s="7" t="str">
        <f aca="false">HYPERLINK("https://mncourtfraud.com/file/PJD-5.zip","PJD-5.zip")</f>
        <v>PJD-5.zip</v>
      </c>
      <c r="C204" s="8" t="str">
        <f aca="false">HYPERLINK("https://mncourtfraud.com/file/27-CR-21-928.pdf","27-CR-21-928")</f>
        <v>27-CR-21-928</v>
      </c>
      <c r="D204" s="3" t="s">
        <v>567</v>
      </c>
      <c r="E204" s="8" t="str">
        <f aca="false">HYPERLINK("https://mncourtfraud.com/file/MCRO_27-CR-21-928_Notice of Hearing_2023-06-05_20240430075147.pdf","MCRO_27-CR-21-928_Notice of Hearing_2023-06-05_20240430075147.pdf")</f>
        <v>MCRO_27-CR-21-928_Notice of Hearing_2023-06-05_20240430075147.pdf</v>
      </c>
      <c r="F204" s="1" t="s">
        <v>583</v>
      </c>
      <c r="G204" s="9" t="n">
        <v>45082</v>
      </c>
      <c r="H204" s="1" t="n">
        <v>2</v>
      </c>
    </row>
    <row r="205" customFormat="false" ht="18.7" hidden="false" customHeight="true" outlineLevel="0" collapsed="false">
      <c r="A205" s="1" t="n">
        <v>204</v>
      </c>
      <c r="B205" s="7" t="str">
        <f aca="false">HYPERLINK("https://mncourtfraud.com/file/PJD-5.zip","PJD-5.zip")</f>
        <v>PJD-5.zip</v>
      </c>
      <c r="C205" s="8" t="str">
        <f aca="false">HYPERLINK("https://mncourtfraud.com/file/27-CR-22-4239.pdf","27-CR-22-4239")</f>
        <v>27-CR-22-4239</v>
      </c>
      <c r="D205" s="3" t="s">
        <v>567</v>
      </c>
      <c r="E205" s="8" t="str">
        <f aca="false">HYPERLINK("https://mncourtfraud.com/file/MCRO_27-CR-22-4239_Notice of Hearing_2023-06-05_20240429035802.pdf","MCRO_27-CR-22-4239_Notice of Hearing_2023-06-05_20240429035802.pdf")</f>
        <v>MCRO_27-CR-22-4239_Notice of Hearing_2023-06-05_20240429035802.pdf</v>
      </c>
      <c r="F205" s="1" t="s">
        <v>1158</v>
      </c>
      <c r="G205" s="9" t="n">
        <v>45082</v>
      </c>
      <c r="H205" s="1" t="n">
        <v>2</v>
      </c>
    </row>
    <row r="206" customFormat="false" ht="18.7" hidden="false" customHeight="true" outlineLevel="0" collapsed="false">
      <c r="A206" s="1" t="n">
        <v>205</v>
      </c>
      <c r="B206" s="7" t="str">
        <f aca="false">HYPERLINK("https://mncourtfraud.com/file/PJD-5.zip","PJD-5.zip")</f>
        <v>PJD-5.zip</v>
      </c>
      <c r="C206" s="8" t="str">
        <f aca="false">HYPERLINK("https://mncourtfraud.com/file/27-CR-22-4239.pdf","27-CR-22-4239")</f>
        <v>27-CR-22-4239</v>
      </c>
      <c r="D206" s="3" t="s">
        <v>567</v>
      </c>
      <c r="E206" s="8" t="str">
        <f aca="false">HYPERLINK("https://mncourtfraud.com/file/MCRO_27-CR-22-4239_Notice of Hearing_2023-06-05_20240429035803.pdf","MCRO_27-CR-22-4239_Notice of Hearing_2023-06-05_20240429035803.pdf")</f>
        <v>MCRO_27-CR-22-4239_Notice of Hearing_2023-06-05_20240429035803.pdf</v>
      </c>
      <c r="F206" s="1" t="s">
        <v>583</v>
      </c>
      <c r="G206" s="9" t="n">
        <v>45082</v>
      </c>
      <c r="H206" s="1" t="n">
        <v>2</v>
      </c>
    </row>
    <row r="207" customFormat="false" ht="18.7" hidden="false" customHeight="true" outlineLevel="0" collapsed="false">
      <c r="A207" s="1" t="n">
        <v>206</v>
      </c>
      <c r="B207" s="7" t="str">
        <f aca="false">HYPERLINK("https://mncourtfraud.com/file/PJD-5.zip","PJD-5.zip")</f>
        <v>PJD-5.zip</v>
      </c>
      <c r="C207" s="8" t="str">
        <f aca="false">HYPERLINK("https://mncourtfraud.com/file/27-CR-20-6301.pdf","27-CR-20-6301")</f>
        <v>27-CR-20-6301</v>
      </c>
      <c r="D207" s="3" t="s">
        <v>567</v>
      </c>
      <c r="E207" s="8" t="str">
        <f aca="false">HYPERLINK("https://mncourtfraud.com/file/MCRO_27-CR-20-6301_Notice of Hearing_2020-03-10_20240430085137.pdf","MCRO_27-CR-20-6301_Notice of Hearing_2020-03-10_20240430085137.pdf")</f>
        <v>MCRO_27-CR-20-6301_Notice of Hearing_2020-03-10_20240430085137.pdf</v>
      </c>
      <c r="F207" s="1" t="s">
        <v>1159</v>
      </c>
      <c r="G207" s="9" t="n">
        <v>43900</v>
      </c>
      <c r="H207" s="1" t="n">
        <v>1</v>
      </c>
    </row>
    <row r="208" customFormat="false" ht="18.7" hidden="false" customHeight="true" outlineLevel="0" collapsed="false">
      <c r="A208" s="1" t="n">
        <v>207</v>
      </c>
      <c r="B208" s="7" t="str">
        <f aca="false">HYPERLINK("https://mncourtfraud.com/file/PJD-5.zip","PJD-5.zip")</f>
        <v>PJD-5.zip</v>
      </c>
      <c r="C208" s="8" t="str">
        <f aca="false">HYPERLINK("https://mncourtfraud.com/file/27-CR-21-928.pdf","27-CR-21-928")</f>
        <v>27-CR-21-928</v>
      </c>
      <c r="D208" s="3" t="s">
        <v>567</v>
      </c>
      <c r="E208" s="8" t="str">
        <f aca="false">HYPERLINK("https://mncourtfraud.com/file/MCRO_27-CR-21-928_Warrant Issued_2021-04-19_20240430075150.pdf","MCRO_27-CR-21-928_Warrant Issued_2021-04-19_20240430075150.pdf")</f>
        <v>MCRO_27-CR-21-928_Warrant Issued_2021-04-19_20240430075150.pdf</v>
      </c>
      <c r="F208" s="1" t="s">
        <v>1160</v>
      </c>
      <c r="G208" s="9" t="n">
        <v>44305</v>
      </c>
      <c r="H208" s="1" t="n">
        <v>1</v>
      </c>
    </row>
    <row r="209" customFormat="false" ht="18.7" hidden="false" customHeight="true" outlineLevel="0" collapsed="false">
      <c r="A209" s="1" t="n">
        <v>208</v>
      </c>
      <c r="B209" s="7" t="str">
        <f aca="false">HYPERLINK("https://mncourtfraud.com/file/PJD-5.zip","PJD-5.zip")</f>
        <v>PJD-5.zip</v>
      </c>
      <c r="C209" s="8" t="str">
        <f aca="false">HYPERLINK("https://mncourtfraud.com/file/27-CR-20-6301.pdf","27-CR-20-6301")</f>
        <v>27-CR-20-6301</v>
      </c>
      <c r="D209" s="3" t="s">
        <v>567</v>
      </c>
      <c r="E209" s="8" t="str">
        <f aca="false">HYPERLINK("https://mncourtfraud.com/file/MCRO_27-CR-20-6301_Notice of Case Reassignment_2021-10-11_20240430085135.pdf","MCRO_27-CR-20-6301_Notice of Case Reassignment_2021-10-11_20240430085135.pdf")</f>
        <v>MCRO_27-CR-20-6301_Notice of Case Reassignment_2021-10-11_20240430085135.pdf</v>
      </c>
      <c r="F209" s="1" t="s">
        <v>1161</v>
      </c>
      <c r="G209" s="9" t="n">
        <v>44480</v>
      </c>
      <c r="H209" s="1" t="n">
        <v>1</v>
      </c>
    </row>
    <row r="210" customFormat="false" ht="18.7" hidden="false" customHeight="true" outlineLevel="0" collapsed="false">
      <c r="A210" s="1" t="n">
        <v>209</v>
      </c>
      <c r="G210" s="9"/>
    </row>
    <row r="211" customFormat="false" ht="18.7" hidden="false" customHeight="true" outlineLevel="0" collapsed="false">
      <c r="A211" s="1" t="n">
        <v>210</v>
      </c>
      <c r="B211" s="7" t="str">
        <f aca="false">HYPERLINK("https://mncourtfraud.com/file/AIO-36.zip","AIO-36.zip")</f>
        <v>AIO-36.zip</v>
      </c>
      <c r="C211" s="8" t="str">
        <f aca="false">HYPERLINK("https://mncourtfraud.com/file/27-CR-18-18391.pdf","27-CR-18-18391")</f>
        <v>27-CR-18-18391</v>
      </c>
      <c r="D211" s="3" t="s">
        <v>586</v>
      </c>
      <c r="E211" s="8" t="str">
        <f aca="false">HYPERLINK("https://mncourtfraud.com/file/MCRO_27-CR-18-18391_Order-Evaluation for Competency to Proceed (Rule 20.01)_2019-01-28_20240430092815.pdf","MCRO_27-CR-18-18391_Order-Evaluation for Competency to Proceed (Rule 20.01)_2019-01-28_20240430092815.pdf")</f>
        <v>MCRO_27-CR-18-18391_Order-Evaluation for Competency to Proceed (Rule 20.01)_2019-01-28_20240430092815.pdf</v>
      </c>
      <c r="F211" s="1" t="s">
        <v>1162</v>
      </c>
      <c r="G211" s="9" t="n">
        <v>43493</v>
      </c>
      <c r="H211" s="1" t="n">
        <v>1919</v>
      </c>
    </row>
    <row r="212" customFormat="false" ht="18.7" hidden="false" customHeight="true" outlineLevel="0" collapsed="false">
      <c r="A212" s="1" t="n">
        <v>211</v>
      </c>
      <c r="B212" s="7" t="str">
        <f aca="false">HYPERLINK("https://mncourtfraud.com/file/AIO-36.zip","AIO-36.zip")</f>
        <v>AIO-36.zip</v>
      </c>
      <c r="C212" s="8" t="str">
        <f aca="false">HYPERLINK("https://mncourtfraud.com/file/27-CR-18-18391.pdf","27-CR-18-18391")</f>
        <v>27-CR-18-18391</v>
      </c>
      <c r="D212" s="3" t="s">
        <v>586</v>
      </c>
      <c r="E212" s="8" t="str">
        <f aca="false">HYPERLINK("https://mncourtfraud.com/file/MCRO_27-CR-18-18391_Notice of Appearance_2020-02-25_20240430092752.pdf","MCRO_27-CR-18-18391_Notice of Appearance_2020-02-25_20240430092752.pdf")</f>
        <v>MCRO_27-CR-18-18391_Notice of Appearance_2020-02-25_20240430092752.pdf</v>
      </c>
      <c r="F212" s="1" t="s">
        <v>1163</v>
      </c>
      <c r="G212" s="9" t="n">
        <v>43886</v>
      </c>
      <c r="H212" s="1" t="n">
        <v>7</v>
      </c>
    </row>
    <row r="213" customFormat="false" ht="18.7" hidden="false" customHeight="true" outlineLevel="0" collapsed="false">
      <c r="A213" s="1" t="n">
        <v>212</v>
      </c>
      <c r="B213" s="7" t="str">
        <f aca="false">HYPERLINK("https://mncourtfraud.com/file/AIO-36.zip","AIO-36.zip")</f>
        <v>AIO-36.zip</v>
      </c>
      <c r="C213" s="8" t="str">
        <f aca="false">HYPERLINK("https://mncourtfraud.com/file/27-CR-19-17539.pdf","27-CR-19-17539")</f>
        <v>27-CR-19-17539</v>
      </c>
      <c r="D213" s="3" t="s">
        <v>586</v>
      </c>
      <c r="E213" s="8" t="str">
        <f aca="false">HYPERLINK("https://mncourtfraud.com/file/MCRO_27-CR-19-17539_Notice of Appearance_2020-02-25_20240430091959.pdf","MCRO_27-CR-19-17539_Notice of Appearance_2020-02-25_20240430091959.pdf")</f>
        <v>MCRO_27-CR-19-17539_Notice of Appearance_2020-02-25_20240430091959.pdf</v>
      </c>
      <c r="F213" s="1" t="s">
        <v>1164</v>
      </c>
      <c r="G213" s="9" t="n">
        <v>43886</v>
      </c>
      <c r="H213" s="1" t="n">
        <v>7</v>
      </c>
    </row>
    <row r="214" customFormat="false" ht="18.7" hidden="false" customHeight="true" outlineLevel="0" collapsed="false">
      <c r="A214" s="1" t="n">
        <v>213</v>
      </c>
      <c r="B214" s="7" t="str">
        <f aca="false">HYPERLINK("https://mncourtfraud.com/file/AIO-36.zip","AIO-36.zip")</f>
        <v>AIO-36.zip</v>
      </c>
      <c r="C214" s="8" t="str">
        <f aca="false">HYPERLINK("https://mncourtfraud.com/file/27-CR-19-1916.pdf","27-CR-19-1916")</f>
        <v>27-CR-19-1916</v>
      </c>
      <c r="D214" s="3" t="s">
        <v>586</v>
      </c>
      <c r="E214" s="8" t="str">
        <f aca="false">HYPERLINK("https://mncourtfraud.com/file/MCRO_27-CR-19-1916_Notice of Appearance_2020-02-25_20240430091242.pdf","MCRO_27-CR-19-1916_Notice of Appearance_2020-02-25_20240430091242.pdf")</f>
        <v>MCRO_27-CR-19-1916_Notice of Appearance_2020-02-25_20240430091242.pdf</v>
      </c>
      <c r="F214" s="1" t="s">
        <v>1165</v>
      </c>
      <c r="G214" s="9" t="n">
        <v>43886</v>
      </c>
      <c r="H214" s="1" t="n">
        <v>7</v>
      </c>
    </row>
    <row r="215" customFormat="false" ht="18.7" hidden="false" customHeight="true" outlineLevel="0" collapsed="false">
      <c r="A215" s="1" t="n">
        <v>214</v>
      </c>
      <c r="B215" s="7" t="str">
        <f aca="false">HYPERLINK("https://mncourtfraud.com/file/AIO-36.zip","AIO-36.zip")</f>
        <v>AIO-36.zip</v>
      </c>
      <c r="C215" s="8" t="str">
        <f aca="false">HYPERLINK("https://mncourtfraud.com/file/27-CR-19-3539.pdf","27-CR-19-3539")</f>
        <v>27-CR-19-3539</v>
      </c>
      <c r="D215" s="3" t="s">
        <v>586</v>
      </c>
      <c r="E215" s="8" t="str">
        <f aca="false">HYPERLINK("https://mncourtfraud.com/file/MCRO_27-CR-19-3539_Notice of Appearance_2020-02-25_20240430091352.pdf","MCRO_27-CR-19-3539_Notice of Appearance_2020-02-25_20240430091352.pdf")</f>
        <v>MCRO_27-CR-19-3539_Notice of Appearance_2020-02-25_20240430091352.pdf</v>
      </c>
      <c r="F215" s="1" t="s">
        <v>1166</v>
      </c>
      <c r="G215" s="9" t="n">
        <v>43886</v>
      </c>
      <c r="H215" s="1" t="n">
        <v>7</v>
      </c>
    </row>
    <row r="216" customFormat="false" ht="18.7" hidden="false" customHeight="true" outlineLevel="0" collapsed="false">
      <c r="A216" s="1" t="n">
        <v>215</v>
      </c>
      <c r="B216" s="7" t="str">
        <f aca="false">HYPERLINK("https://mncourtfraud.com/file/AIO-36.zip","AIO-36.zip")</f>
        <v>AIO-36.zip</v>
      </c>
      <c r="C216" s="8" t="str">
        <f aca="false">HYPERLINK("https://mncourtfraud.com/file/27-CR-18-18391.pdf","27-CR-18-18391")</f>
        <v>27-CR-18-18391</v>
      </c>
      <c r="D216" s="3" t="s">
        <v>586</v>
      </c>
      <c r="E216" s="8" t="str">
        <f aca="false">HYPERLINK("https://mncourtfraud.com/file/MCRO_27-CR-18-18391_Notice of Case Reassignment_2020-03-04_20240430092751.pdf","MCRO_27-CR-18-18391_Notice of Case Reassignment_2020-03-04_20240430092751.pdf")</f>
        <v>MCRO_27-CR-18-18391_Notice of Case Reassignment_2020-03-04_20240430092751.pdf</v>
      </c>
      <c r="F216" s="1" t="s">
        <v>1167</v>
      </c>
      <c r="G216" s="9" t="n">
        <v>43894</v>
      </c>
      <c r="H216" s="1" t="n">
        <v>6</v>
      </c>
    </row>
    <row r="217" customFormat="false" ht="18.7" hidden="false" customHeight="true" outlineLevel="0" collapsed="false">
      <c r="A217" s="1" t="n">
        <v>216</v>
      </c>
      <c r="B217" s="7" t="str">
        <f aca="false">HYPERLINK("https://mncourtfraud.com/file/AIO-36.zip","AIO-36.zip")</f>
        <v>AIO-36.zip</v>
      </c>
      <c r="C217" s="8" t="str">
        <f aca="false">HYPERLINK("https://mncourtfraud.com/file/27-CR-19-1916.pdf","27-CR-19-1916")</f>
        <v>27-CR-19-1916</v>
      </c>
      <c r="D217" s="3" t="s">
        <v>586</v>
      </c>
      <c r="E217" s="8" t="str">
        <f aca="false">HYPERLINK("https://mncourtfraud.com/file/MCRO_27-CR-19-1916_Notice of Case Reassignment_2020-03-04_20240430091241.pdf","MCRO_27-CR-19-1916_Notice of Case Reassignment_2020-03-04_20240430091241.pdf")</f>
        <v>MCRO_27-CR-19-1916_Notice of Case Reassignment_2020-03-04_20240430091241.pdf</v>
      </c>
      <c r="F217" s="1" t="s">
        <v>1168</v>
      </c>
      <c r="G217" s="9" t="n">
        <v>43894</v>
      </c>
      <c r="H217" s="1" t="n">
        <v>6</v>
      </c>
    </row>
    <row r="218" customFormat="false" ht="18.7" hidden="false" customHeight="true" outlineLevel="0" collapsed="false">
      <c r="A218" s="1" t="n">
        <v>217</v>
      </c>
      <c r="B218" s="7" t="str">
        <f aca="false">HYPERLINK("https://mncourtfraud.com/file/AIO-36.zip","AIO-36.zip")</f>
        <v>AIO-36.zip</v>
      </c>
      <c r="C218" s="8" t="str">
        <f aca="false">HYPERLINK("https://mncourtfraud.com/file/27-CR-19-1916.pdf","27-CR-19-1916")</f>
        <v>27-CR-19-1916</v>
      </c>
      <c r="D218" s="3" t="s">
        <v>586</v>
      </c>
      <c r="E218" s="8" t="str">
        <f aca="false">HYPERLINK("https://mncourtfraud.com/file/MCRO_27-CR-19-1916_Order-Evaluation for Competency to Proceed (Rule 20.01)_2019-01-28_20240430091250.pdf","MCRO_27-CR-19-1916_Order-Evaluation for Competency to Proceed (Rule 20.01)_2019-01-28_20240430091250.pdf")</f>
        <v>MCRO_27-CR-19-1916_Order-Evaluation for Competency to Proceed (Rule 20.01)_2019-01-28_20240430091250.pdf</v>
      </c>
      <c r="F218" s="1" t="s">
        <v>1169</v>
      </c>
      <c r="G218" s="9" t="n">
        <v>43493</v>
      </c>
      <c r="H218" s="1" t="n">
        <v>4</v>
      </c>
    </row>
    <row r="219" customFormat="false" ht="18.7" hidden="false" customHeight="true" outlineLevel="0" collapsed="false">
      <c r="A219" s="1" t="n">
        <v>218</v>
      </c>
      <c r="B219" s="7" t="str">
        <f aca="false">HYPERLINK("https://mncourtfraud.com/file/AIO-36.zip","AIO-36.zip")</f>
        <v>AIO-36.zip</v>
      </c>
      <c r="C219" s="8" t="str">
        <f aca="false">HYPERLINK("https://mncourtfraud.com/file/27-CR-18-18391.pdf","27-CR-18-18391")</f>
        <v>27-CR-18-18391</v>
      </c>
      <c r="D219" s="3" t="s">
        <v>586</v>
      </c>
      <c r="E219" s="8" t="str">
        <f aca="false">HYPERLINK("https://mncourtfraud.com/file/MCRO_27-CR-18-18391_Order Forfeiting Cash Bond or Surety Bond_2018-09-19_20240430092823.pdf","MCRO_27-CR-18-18391_Order Forfeiting Cash Bond or Surety Bond_2018-09-19_20240430092823.pdf")</f>
        <v>MCRO_27-CR-18-18391_Order Forfeiting Cash Bond or Surety Bond_2018-09-19_20240430092823.pdf</v>
      </c>
      <c r="F219" s="1" t="s">
        <v>1170</v>
      </c>
      <c r="G219" s="9" t="n">
        <v>43362</v>
      </c>
      <c r="H219" s="1" t="n">
        <v>2</v>
      </c>
    </row>
    <row r="220" customFormat="false" ht="18.7" hidden="false" customHeight="true" outlineLevel="0" collapsed="false">
      <c r="A220" s="1" t="n">
        <v>219</v>
      </c>
      <c r="B220" s="7" t="str">
        <f aca="false">HYPERLINK("https://mncourtfraud.com/file/AIO-36.zip","AIO-36.zip")</f>
        <v>AIO-36.zip</v>
      </c>
      <c r="C220" s="8" t="str">
        <f aca="false">HYPERLINK("https://mncourtfraud.com/file/27-CR-18-18391.pdf","27-CR-18-18391")</f>
        <v>27-CR-18-18391</v>
      </c>
      <c r="D220" s="3" t="s">
        <v>586</v>
      </c>
      <c r="E220" s="8" t="str">
        <f aca="false">HYPERLINK("https://mncourtfraud.com/file/MCRO_27-CR-18-18391_Returned Mail_2022-09-20_20240430092728.pdf","MCRO_27-CR-18-18391_Returned Mail_2022-09-20_20240430092728.pdf")</f>
        <v>MCRO_27-CR-18-18391_Returned Mail_2022-09-20_20240430092728.pdf</v>
      </c>
      <c r="F220" s="1" t="s">
        <v>1171</v>
      </c>
      <c r="G220" s="9" t="n">
        <v>44824</v>
      </c>
      <c r="H220" s="1" t="n">
        <v>2</v>
      </c>
    </row>
    <row r="221" customFormat="false" ht="18.7" hidden="false" customHeight="true" outlineLevel="0" collapsed="false">
      <c r="A221" s="1" t="n">
        <v>220</v>
      </c>
      <c r="B221" s="7" t="str">
        <f aca="false">HYPERLINK("https://mncourtfraud.com/file/AIO-36.zip","AIO-36.zip")</f>
        <v>AIO-36.zip</v>
      </c>
      <c r="C221" s="8" t="str">
        <f aca="false">HYPERLINK("https://mncourtfraud.com/file/27-CR-19-17539.pdf","27-CR-19-17539")</f>
        <v>27-CR-19-17539</v>
      </c>
      <c r="D221" s="3" t="s">
        <v>586</v>
      </c>
      <c r="E221" s="8" t="str">
        <f aca="false">HYPERLINK("https://mncourtfraud.com/file/MCRO_27-CR-19-17539_Returned Mail_2022-09-20_20240430091938.pdf","MCRO_27-CR-19-17539_Returned Mail_2022-09-20_20240430091938.pdf")</f>
        <v>MCRO_27-CR-19-17539_Returned Mail_2022-09-20_20240430091938.pdf</v>
      </c>
      <c r="F221" s="1" t="s">
        <v>721</v>
      </c>
      <c r="G221" s="9" t="n">
        <v>44824</v>
      </c>
      <c r="H221" s="1" t="n">
        <v>2</v>
      </c>
    </row>
    <row r="222" customFormat="false" ht="18.7" hidden="false" customHeight="true" outlineLevel="0" collapsed="false">
      <c r="A222" s="1" t="n">
        <v>221</v>
      </c>
      <c r="B222" s="7" t="str">
        <f aca="false">HYPERLINK("https://mncourtfraud.com/file/AIO-36.zip","AIO-36.zip")</f>
        <v>AIO-36.zip</v>
      </c>
      <c r="C222" s="8" t="str">
        <f aca="false">HYPERLINK("https://mncourtfraud.com/file/27-CR-19-1916.pdf","27-CR-19-1916")</f>
        <v>27-CR-19-1916</v>
      </c>
      <c r="D222" s="3" t="s">
        <v>586</v>
      </c>
      <c r="E222" s="8" t="str">
        <f aca="false">HYPERLINK("https://mncourtfraud.com/file/MCRO_27-CR-19-1916_Returned Mail_2022-09-20_20240430091219.pdf","MCRO_27-CR-19-1916_Returned Mail_2022-09-20_20240430091219.pdf")</f>
        <v>MCRO_27-CR-19-1916_Returned Mail_2022-09-20_20240430091219.pdf</v>
      </c>
      <c r="F222" s="1" t="s">
        <v>721</v>
      </c>
      <c r="G222" s="9" t="n">
        <v>44824</v>
      </c>
      <c r="H222" s="1" t="n">
        <v>2</v>
      </c>
    </row>
    <row r="223" customFormat="false" ht="18.7" hidden="false" customHeight="true" outlineLevel="0" collapsed="false">
      <c r="A223" s="1" t="n">
        <v>222</v>
      </c>
      <c r="B223" s="7" t="str">
        <f aca="false">HYPERLINK("https://mncourtfraud.com/file/AIO-36.zip","AIO-36.zip")</f>
        <v>AIO-36.zip</v>
      </c>
      <c r="C223" s="8" t="str">
        <f aca="false">HYPERLINK("https://mncourtfraud.com/file/27-CR-19-3539.pdf","27-CR-19-3539")</f>
        <v>27-CR-19-3539</v>
      </c>
      <c r="D223" s="3" t="s">
        <v>586</v>
      </c>
      <c r="E223" s="8" t="str">
        <f aca="false">HYPERLINK("https://mncourtfraud.com/file/MCRO_27-CR-19-3539_Returned Mail_2022-09-20_20240430091331.pdf","MCRO_27-CR-19-3539_Returned Mail_2022-09-20_20240430091331.pdf")</f>
        <v>MCRO_27-CR-19-3539_Returned Mail_2022-09-20_20240430091331.pdf</v>
      </c>
      <c r="F223" s="1" t="s">
        <v>721</v>
      </c>
      <c r="G223" s="9" t="n">
        <v>44824</v>
      </c>
      <c r="H223" s="1" t="n">
        <v>2</v>
      </c>
    </row>
    <row r="224" customFormat="false" ht="18.7" hidden="false" customHeight="true" outlineLevel="0" collapsed="false">
      <c r="A224" s="1" t="n">
        <v>223</v>
      </c>
      <c r="B224" s="7" t="str">
        <f aca="false">HYPERLINK("https://mncourtfraud.com/file/AIO-36.zip","AIO-36.zip")</f>
        <v>AIO-36.zip</v>
      </c>
      <c r="C224" s="8" t="str">
        <f aca="false">HYPERLINK("https://mncourtfraud.com/file/27-CR-21-22058.pdf","27-CR-21-22058")</f>
        <v>27-CR-21-22058</v>
      </c>
      <c r="D224" s="3" t="s">
        <v>586</v>
      </c>
      <c r="E224" s="8" t="str">
        <f aca="false">HYPERLINK("https://mncourtfraud.com/file/MCRO_27-CR-21-22058_Returned Mail_2022-09-20_20240430083556.pdf","MCRO_27-CR-21-22058_Returned Mail_2022-09-20_20240430083556.pdf")</f>
        <v>MCRO_27-CR-21-22058_Returned Mail_2022-09-20_20240430083556.pdf</v>
      </c>
      <c r="F224" s="1" t="s">
        <v>721</v>
      </c>
      <c r="G224" s="9" t="n">
        <v>44824</v>
      </c>
      <c r="H224" s="1" t="n">
        <v>2</v>
      </c>
    </row>
    <row r="225" customFormat="false" ht="18.7" hidden="false" customHeight="true" outlineLevel="0" collapsed="false">
      <c r="A225" s="1" t="n">
        <v>224</v>
      </c>
      <c r="B225" s="7" t="str">
        <f aca="false">HYPERLINK("https://mncourtfraud.com/file/AIO-36.zip","AIO-36.zip")</f>
        <v>AIO-36.zip</v>
      </c>
      <c r="C225" s="8" t="str">
        <f aca="false">HYPERLINK("https://mncourtfraud.com/file/27-CR-18-18391.pdf","27-CR-18-18391")</f>
        <v>27-CR-18-18391</v>
      </c>
      <c r="D225" s="3" t="s">
        <v>586</v>
      </c>
      <c r="E225" s="8" t="str">
        <f aca="false">HYPERLINK("https://mncourtfraud.com/file/MCRO_27-CR-18-18391_Non-Cash Bond Posted_2018-09-12_20240430092826.pdf","MCRO_27-CR-18-18391_Non-Cash Bond Posted_2018-09-12_20240430092826.pdf")</f>
        <v>MCRO_27-CR-18-18391_Non-Cash Bond Posted_2018-09-12_20240430092826.pdf</v>
      </c>
      <c r="F225" s="1" t="s">
        <v>1172</v>
      </c>
      <c r="G225" s="9" t="n">
        <v>43355</v>
      </c>
      <c r="H225" s="1" t="n">
        <v>1</v>
      </c>
    </row>
    <row r="226" customFormat="false" ht="18.7" hidden="false" customHeight="true" outlineLevel="0" collapsed="false">
      <c r="A226" s="1" t="n">
        <v>225</v>
      </c>
      <c r="B226" s="7" t="str">
        <f aca="false">HYPERLINK("https://mncourtfraud.com/file/AIO-36.zip","AIO-36.zip")</f>
        <v>AIO-36.zip</v>
      </c>
      <c r="C226" s="8" t="str">
        <f aca="false">HYPERLINK("https://mncourtfraud.com/file/27-CR-21-22058.pdf","27-CR-21-22058")</f>
        <v>27-CR-21-22058</v>
      </c>
      <c r="D226" s="3" t="s">
        <v>586</v>
      </c>
      <c r="E226" s="8" t="str">
        <f aca="false">HYPERLINK("https://mncourtfraud.com/file/MCRO_27-CR-21-22058_Non-Cash Bond Posted_2021-12-13_20240430083605.pdf","MCRO_27-CR-21-22058_Non-Cash Bond Posted_2021-12-13_20240430083605.pdf")</f>
        <v>MCRO_27-CR-21-22058_Non-Cash Bond Posted_2021-12-13_20240430083605.pdf</v>
      </c>
      <c r="F226" s="1" t="s">
        <v>1173</v>
      </c>
      <c r="G226" s="9" t="n">
        <v>44543</v>
      </c>
      <c r="H226" s="1" t="n">
        <v>1</v>
      </c>
    </row>
    <row r="227" customFormat="false" ht="18.7" hidden="false" customHeight="true" outlineLevel="0" collapsed="false">
      <c r="A227" s="1" t="n">
        <v>226</v>
      </c>
      <c r="G227" s="9"/>
    </row>
    <row r="228" customFormat="false" ht="18.7" hidden="false" customHeight="true" outlineLevel="0" collapsed="false">
      <c r="A228" s="1" t="n">
        <v>227</v>
      </c>
      <c r="B228" s="7" t="str">
        <f aca="false">HYPERLINK("https://mncourtfraud.com/file/ADN-31.zip","ADN-31.zip")</f>
        <v>ADN-31.zip</v>
      </c>
      <c r="C228" s="8" t="str">
        <f aca="false">HYPERLINK("https://mncourtfraud.com/file/27-CR-20-3244.pdf","27-CR-20-3244")</f>
        <v>27-CR-20-3244</v>
      </c>
      <c r="D228" s="3" t="s">
        <v>796</v>
      </c>
      <c r="E228" s="8" t="str">
        <f aca="false">HYPERLINK("https://mncourtfraud.com/file/MCRO_27-CR-20-3244_Law Enforcement Bail Bond Receipt_2022-03-22_20240430085022.pdf","MCRO_27-CR-20-3244_Law Enforcement Bail Bond Receipt_2022-03-22_20240430085022.pdf")</f>
        <v>MCRO_27-CR-20-3244_Law Enforcement Bail Bond Receipt_2022-03-22_20240430085022.pdf</v>
      </c>
      <c r="F228" s="1" t="s">
        <v>1174</v>
      </c>
      <c r="G228" s="9" t="n">
        <v>44642</v>
      </c>
      <c r="H228" s="1" t="n">
        <v>30</v>
      </c>
    </row>
    <row r="229" customFormat="false" ht="18.7" hidden="false" customHeight="true" outlineLevel="0" collapsed="false">
      <c r="A229" s="1" t="n">
        <v>228</v>
      </c>
      <c r="B229" s="7" t="str">
        <f aca="false">HYPERLINK("https://mncourtfraud.com/file/ADN-31.zip","ADN-31.zip")</f>
        <v>ADN-31.zip</v>
      </c>
      <c r="C229" s="8" t="str">
        <f aca="false">HYPERLINK("https://mncourtfraud.com/file/27-CR-21-1978.pdf","27-CR-21-1978")</f>
        <v>27-CR-21-1978</v>
      </c>
      <c r="D229" s="3" t="s">
        <v>775</v>
      </c>
      <c r="E229" s="8" t="str">
        <f aca="false">HYPERLINK("https://mncourtfraud.com/file/MCRO_27-CR-21-1978_Law Enforcement Bail Bond Receipt_2022-03-22_20240430075726.pdf","MCRO_27-CR-21-1978_Law Enforcement Bail Bond Receipt_2022-03-22_20240430075726.pdf")</f>
        <v>MCRO_27-CR-21-1978_Law Enforcement Bail Bond Receipt_2022-03-22_20240430075726.pdf</v>
      </c>
      <c r="F229" s="1" t="s">
        <v>1175</v>
      </c>
      <c r="G229" s="9" t="n">
        <v>44642</v>
      </c>
      <c r="H229" s="1" t="n">
        <v>30</v>
      </c>
    </row>
    <row r="230" customFormat="false" ht="18.7" hidden="false" customHeight="true" outlineLevel="0" collapsed="false">
      <c r="A230" s="1" t="n">
        <v>229</v>
      </c>
      <c r="B230" s="7" t="str">
        <f aca="false">HYPERLINK("https://mncourtfraud.com/file/ADN-31.zip","ADN-31.zip")</f>
        <v>ADN-31.zip</v>
      </c>
      <c r="C230" s="8" t="str">
        <f aca="false">HYPERLINK("https://mncourtfraud.com/file/27-CR-21-1977.pdf","27-CR-21-1977")</f>
        <v>27-CR-21-1977</v>
      </c>
      <c r="D230" s="3" t="s">
        <v>775</v>
      </c>
      <c r="E230" s="8" t="str">
        <f aca="false">HYPERLINK("https://mncourtfraud.com/file/MCRO_27-CR-21-1977_Law Enforcement Bail Bond Receipt_2022-03-22_20240430075616.pdf","MCRO_27-CR-21-1977_Law Enforcement Bail Bond Receipt_2022-03-22_20240430075616.pdf")</f>
        <v>MCRO_27-CR-21-1977_Law Enforcement Bail Bond Receipt_2022-03-22_20240430075616.pdf</v>
      </c>
      <c r="F230" s="1" t="s">
        <v>1176</v>
      </c>
      <c r="G230" s="9" t="n">
        <v>44642</v>
      </c>
      <c r="H230" s="1" t="n">
        <v>27</v>
      </c>
    </row>
    <row r="231" customFormat="false" ht="18.7" hidden="false" customHeight="true" outlineLevel="0" collapsed="false">
      <c r="A231" s="1" t="n">
        <v>230</v>
      </c>
      <c r="B231" s="7" t="str">
        <f aca="false">HYPERLINK("https://mncourtfraud.com/file/ADN-31.zip","ADN-31.zip")</f>
        <v>ADN-31.zip</v>
      </c>
      <c r="C231" s="8" t="str">
        <f aca="false">HYPERLINK("https://mncourtfraud.com/file/27-CR-21-1977.pdf","27-CR-21-1977")</f>
        <v>27-CR-21-1977</v>
      </c>
      <c r="D231" s="3" t="s">
        <v>775</v>
      </c>
      <c r="E231" s="8" t="str">
        <f aca="false">HYPERLINK("https://mncourtfraud.com/file/MCRO_27-CR-21-1977_Non-Cash Bond Posted_2022-03-22_20240430075617.pdf","MCRO_27-CR-21-1977_Non-Cash Bond Posted_2022-03-22_20240430075617.pdf")</f>
        <v>MCRO_27-CR-21-1977_Non-Cash Bond Posted_2022-03-22_20240430075617.pdf</v>
      </c>
      <c r="F231" s="1" t="s">
        <v>1177</v>
      </c>
      <c r="G231" s="9" t="n">
        <v>44642</v>
      </c>
      <c r="H231" s="1" t="n">
        <v>27</v>
      </c>
    </row>
    <row r="232" customFormat="false" ht="18.7" hidden="false" customHeight="true" outlineLevel="0" collapsed="false">
      <c r="A232" s="1" t="n">
        <v>231</v>
      </c>
      <c r="B232" s="7" t="str">
        <f aca="false">HYPERLINK("https://mncourtfraud.com/file/ADN-31.zip","ADN-31.zip")</f>
        <v>ADN-31.zip</v>
      </c>
      <c r="C232" s="8" t="str">
        <f aca="false">HYPERLINK("https://mncourtfraud.com/file/27-CR-20-3244.pdf","27-CR-20-3244")</f>
        <v>27-CR-20-3244</v>
      </c>
      <c r="D232" s="3" t="s">
        <v>796</v>
      </c>
      <c r="E232" s="8" t="str">
        <f aca="false">HYPERLINK("https://mncourtfraud.com/file/MCRO_27-CR-20-3244_Notice of Case Reassignment_2020-08-07_20240430085040.pdf","MCRO_27-CR-20-3244_Notice of Case Reassignment_2020-08-07_20240430085040.pdf")</f>
        <v>MCRO_27-CR-20-3244_Notice of Case Reassignment_2020-08-07_20240430085040.pdf</v>
      </c>
      <c r="F232" s="1" t="s">
        <v>1178</v>
      </c>
      <c r="G232" s="9" t="n">
        <v>44050</v>
      </c>
      <c r="H232" s="1" t="n">
        <v>19</v>
      </c>
    </row>
    <row r="233" customFormat="false" ht="18.7" hidden="false" customHeight="true" outlineLevel="0" collapsed="false">
      <c r="A233" s="1" t="n">
        <v>232</v>
      </c>
      <c r="B233" s="7" t="str">
        <f aca="false">HYPERLINK("https://mncourtfraud.com/file/ADN-31.zip","ADN-31.zip")</f>
        <v>ADN-31.zip</v>
      </c>
      <c r="C233" s="8" t="str">
        <f aca="false">HYPERLINK("https://mncourtfraud.com/file/27-CR-20-3244.pdf","27-CR-20-3244")</f>
        <v>27-CR-20-3244</v>
      </c>
      <c r="D233" s="3" t="s">
        <v>796</v>
      </c>
      <c r="E233" s="8" t="str">
        <f aca="false">HYPERLINK("https://mncourtfraud.com/file/MCRO_27-CR-20-3244_Notice of Remote Hearing with Instructions_2022-08-09_20240430085017.pdf","MCRO_27-CR-20-3244_Notice of Remote Hearing with Instructions_2022-08-09_20240430085017.pdf")</f>
        <v>MCRO_27-CR-20-3244_Notice of Remote Hearing with Instructions_2022-08-09_20240430085017.pdf</v>
      </c>
      <c r="F233" s="1" t="s">
        <v>1179</v>
      </c>
      <c r="G233" s="9" t="n">
        <v>44782</v>
      </c>
      <c r="H233" s="1" t="n">
        <v>9</v>
      </c>
    </row>
    <row r="234" customFormat="false" ht="18.7" hidden="false" customHeight="true" outlineLevel="0" collapsed="false">
      <c r="A234" s="1" t="n">
        <v>233</v>
      </c>
      <c r="B234" s="7" t="str">
        <f aca="false">HYPERLINK("https://mncourtfraud.com/file/ADN-31.zip","ADN-31.zip")</f>
        <v>ADN-31.zip</v>
      </c>
      <c r="C234" s="8" t="str">
        <f aca="false">HYPERLINK("https://mncourtfraud.com/file/27-CR-21-1977.pdf","27-CR-21-1977")</f>
        <v>27-CR-21-1977</v>
      </c>
      <c r="D234" s="3" t="s">
        <v>775</v>
      </c>
      <c r="E234" s="8" t="str">
        <f aca="false">HYPERLINK("https://mncourtfraud.com/file/MCRO_27-CR-21-1977_Notice of Remote Hearing with Instructions_2022-08-09_20240430075609.pdf","MCRO_27-CR-21-1977_Notice of Remote Hearing with Instructions_2022-08-09_20240430075609.pdf")</f>
        <v>MCRO_27-CR-21-1977_Notice of Remote Hearing with Instructions_2022-08-09_20240430075609.pdf</v>
      </c>
      <c r="F234" s="1" t="s">
        <v>1180</v>
      </c>
      <c r="G234" s="9" t="n">
        <v>44782</v>
      </c>
      <c r="H234" s="1" t="n">
        <v>9</v>
      </c>
    </row>
    <row r="235" customFormat="false" ht="18.7" hidden="false" customHeight="true" outlineLevel="0" collapsed="false">
      <c r="A235" s="1" t="n">
        <v>234</v>
      </c>
      <c r="B235" s="7" t="str">
        <f aca="false">HYPERLINK("https://mncourtfraud.com/file/ADN-31.zip","ADN-31.zip")</f>
        <v>ADN-31.zip</v>
      </c>
      <c r="C235" s="8" t="str">
        <f aca="false">HYPERLINK("https://mncourtfraud.com/file/27-CR-21-1978.pdf","27-CR-21-1978")</f>
        <v>27-CR-21-1978</v>
      </c>
      <c r="D235" s="3" t="s">
        <v>775</v>
      </c>
      <c r="E235" s="8" t="str">
        <f aca="false">HYPERLINK("https://mncourtfraud.com/file/MCRO_27-CR-21-1978_Notice of Remote Hearing with Instructions_2022-08-09_20240430075721.pdf","MCRO_27-CR-21-1978_Notice of Remote Hearing with Instructions_2022-08-09_20240430075721.pdf")</f>
        <v>MCRO_27-CR-21-1978_Notice of Remote Hearing with Instructions_2022-08-09_20240430075721.pdf</v>
      </c>
      <c r="F235" s="1" t="s">
        <v>1181</v>
      </c>
      <c r="G235" s="9" t="n">
        <v>44782</v>
      </c>
      <c r="H235" s="1" t="n">
        <v>9</v>
      </c>
    </row>
    <row r="236" customFormat="false" ht="18.7" hidden="false" customHeight="true" outlineLevel="0" collapsed="false">
      <c r="A236" s="1" t="n">
        <v>235</v>
      </c>
      <c r="B236" s="7" t="str">
        <f aca="false">HYPERLINK("https://mncourtfraud.com/file/ADN-31.zip","ADN-31.zip")</f>
        <v>ADN-31.zip</v>
      </c>
      <c r="C236" s="8" t="str">
        <f aca="false">HYPERLINK("https://mncourtfraud.com/file/27-CR-20-3244.pdf","27-CR-20-3244")</f>
        <v>27-CR-20-3244</v>
      </c>
      <c r="D236" s="3" t="s">
        <v>796</v>
      </c>
      <c r="E236" s="8" t="str">
        <f aca="false">HYPERLINK("https://mncourtfraud.com/file/MCRO_27-CR-20-3244_Returned Mail_2020-02-18_20240430085045.pdf","MCRO_27-CR-20-3244_Returned Mail_2020-02-18_20240430085045.pdf")</f>
        <v>MCRO_27-CR-20-3244_Returned Mail_2020-02-18_20240430085045.pdf</v>
      </c>
      <c r="F236" s="1" t="s">
        <v>1182</v>
      </c>
      <c r="G236" s="9" t="n">
        <v>43879</v>
      </c>
      <c r="H236" s="1" t="n">
        <v>7</v>
      </c>
    </row>
    <row r="237" customFormat="false" ht="18.7" hidden="false" customHeight="true" outlineLevel="0" collapsed="false">
      <c r="A237" s="1" t="n">
        <v>236</v>
      </c>
      <c r="B237" s="7" t="str">
        <f aca="false">HYPERLINK("https://mncourtfraud.com/file/ADN-31.zip","ADN-31.zip")</f>
        <v>ADN-31.zip</v>
      </c>
      <c r="C237" s="8" t="str">
        <f aca="false">HYPERLINK("https://mncourtfraud.com/file/27-CR-21-1977.pdf","27-CR-21-1977")</f>
        <v>27-CR-21-1977</v>
      </c>
      <c r="D237" s="3" t="s">
        <v>775</v>
      </c>
      <c r="E237" s="8" t="str">
        <f aca="false">HYPERLINK("https://mncourtfraud.com/file/MCRO_27-CR-21-1977_Returned Mail_2021-03-26_20240430075629.pdf","MCRO_27-CR-21-1977_Returned Mail_2021-03-26_20240430075629.pdf")</f>
        <v>MCRO_27-CR-21-1977_Returned Mail_2021-03-26_20240430075629.pdf</v>
      </c>
      <c r="F237" s="1" t="s">
        <v>1183</v>
      </c>
      <c r="G237" s="9" t="n">
        <v>44281</v>
      </c>
      <c r="H237" s="1" t="n">
        <v>7</v>
      </c>
    </row>
    <row r="238" customFormat="false" ht="18.7" hidden="false" customHeight="true" outlineLevel="0" collapsed="false">
      <c r="A238" s="1" t="n">
        <v>237</v>
      </c>
      <c r="B238" s="7" t="str">
        <f aca="false">HYPERLINK("https://mncourtfraud.com/file/ADN-31.zip","ADN-31.zip")</f>
        <v>ADN-31.zip</v>
      </c>
      <c r="C238" s="8" t="str">
        <f aca="false">HYPERLINK("https://mncourtfraud.com/file/27-CR-20-3244.pdf","27-CR-20-3244")</f>
        <v>27-CR-20-3244</v>
      </c>
      <c r="D238" s="3" t="s">
        <v>796</v>
      </c>
      <c r="E238" s="8" t="str">
        <f aca="false">HYPERLINK("https://mncourtfraud.com/file/MCRO_27-CR-20-3244_Notice of Remote Hearing with Instructions_2021-11-23_20240430085028.pdf","MCRO_27-CR-20-3244_Notice of Remote Hearing with Instructions_2021-11-23_20240430085028.pdf")</f>
        <v>MCRO_27-CR-20-3244_Notice of Remote Hearing with Instructions_2021-11-23_20240430085028.pdf</v>
      </c>
      <c r="F238" s="1" t="s">
        <v>1184</v>
      </c>
      <c r="G238" s="9" t="n">
        <v>44523</v>
      </c>
      <c r="H238" s="1" t="n">
        <v>6</v>
      </c>
    </row>
    <row r="239" customFormat="false" ht="18.7" hidden="false" customHeight="true" outlineLevel="0" collapsed="false">
      <c r="A239" s="1" t="n">
        <v>238</v>
      </c>
      <c r="B239" s="7" t="str">
        <f aca="false">HYPERLINK("https://mncourtfraud.com/file/ADN-31.zip","ADN-31.zip")</f>
        <v>ADN-31.zip</v>
      </c>
      <c r="C239" s="8" t="str">
        <f aca="false">HYPERLINK("https://mncourtfraud.com/file/27-CR-21-1977.pdf","27-CR-21-1977")</f>
        <v>27-CR-21-1977</v>
      </c>
      <c r="D239" s="3" t="s">
        <v>775</v>
      </c>
      <c r="E239" s="8" t="str">
        <f aca="false">HYPERLINK("https://mncourtfraud.com/file/MCRO_27-CR-21-1977_Notice of Remote Hearing with Instructions_2021-11-23_20240430075622.pdf","MCRO_27-CR-21-1977_Notice of Remote Hearing with Instructions_2021-11-23_20240430075622.pdf")</f>
        <v>MCRO_27-CR-21-1977_Notice of Remote Hearing with Instructions_2021-11-23_20240430075622.pdf</v>
      </c>
      <c r="F239" s="1" t="s">
        <v>790</v>
      </c>
      <c r="G239" s="9" t="n">
        <v>44523</v>
      </c>
      <c r="H239" s="1" t="n">
        <v>6</v>
      </c>
    </row>
    <row r="240" customFormat="false" ht="18.7" hidden="false" customHeight="true" outlineLevel="0" collapsed="false">
      <c r="A240" s="1" t="n">
        <v>239</v>
      </c>
      <c r="B240" s="7" t="str">
        <f aca="false">HYPERLINK("https://mncourtfraud.com/file/ADN-31.zip","ADN-31.zip")</f>
        <v>ADN-31.zip</v>
      </c>
      <c r="C240" s="8" t="str">
        <f aca="false">HYPERLINK("https://mncourtfraud.com/file/27-CR-21-1978.pdf","27-CR-21-1978")</f>
        <v>27-CR-21-1978</v>
      </c>
      <c r="D240" s="3" t="s">
        <v>775</v>
      </c>
      <c r="E240" s="8" t="str">
        <f aca="false">HYPERLINK("https://mncourtfraud.com/file/MCRO_27-CR-21-1978_Notice of Remote Hearing with Instructions_2021-11-23_20240430075731.pdf","MCRO_27-CR-21-1978_Notice of Remote Hearing with Instructions_2021-11-23_20240430075731.pdf")</f>
        <v>MCRO_27-CR-21-1978_Notice of Remote Hearing with Instructions_2021-11-23_20240430075731.pdf</v>
      </c>
      <c r="F240" s="1" t="s">
        <v>790</v>
      </c>
      <c r="G240" s="9" t="n">
        <v>44523</v>
      </c>
      <c r="H240" s="1" t="n">
        <v>6</v>
      </c>
    </row>
    <row r="241" customFormat="false" ht="18.7" hidden="false" customHeight="true" outlineLevel="0" collapsed="false">
      <c r="A241" s="1" t="n">
        <v>240</v>
      </c>
      <c r="B241" s="7" t="str">
        <f aca="false">HYPERLINK("https://mncourtfraud.com/file/ADN-31.zip","ADN-31.zip")</f>
        <v>ADN-31.zip</v>
      </c>
      <c r="C241" s="8" t="str">
        <f aca="false">HYPERLINK("https://mncourtfraud.com/file/27-CR-20-3244.pdf","27-CR-20-3244")</f>
        <v>27-CR-20-3244</v>
      </c>
      <c r="D241" s="3" t="s">
        <v>796</v>
      </c>
      <c r="E241" s="8" t="str">
        <f aca="false">HYPERLINK("https://mncourtfraud.com/file/MCRO_27-CR-20-3244_Warrant Issued_2020-03-05_20240430085044.pdf","MCRO_27-CR-20-3244_Warrant Issued_2020-03-05_20240430085044.pdf")</f>
        <v>MCRO_27-CR-20-3244_Warrant Issued_2020-03-05_20240430085044.pdf</v>
      </c>
      <c r="F241" s="1" t="s">
        <v>1185</v>
      </c>
      <c r="G241" s="9" t="n">
        <v>43895</v>
      </c>
      <c r="H241" s="1" t="n">
        <v>4</v>
      </c>
    </row>
    <row r="242" customFormat="false" ht="18.7" hidden="false" customHeight="true" outlineLevel="0" collapsed="false">
      <c r="A242" s="1" t="n">
        <v>241</v>
      </c>
      <c r="B242" s="7" t="str">
        <f aca="false">HYPERLINK("https://mncourtfraud.com/file/ADN-31.zip","ADN-31.zip")</f>
        <v>ADN-31.zip</v>
      </c>
      <c r="C242" s="8" t="str">
        <f aca="false">HYPERLINK("https://mncourtfraud.com/file/27-CR-20-3244.pdf","27-CR-20-3244")</f>
        <v>27-CR-20-3244</v>
      </c>
      <c r="D242" s="3" t="s">
        <v>796</v>
      </c>
      <c r="E242" s="8" t="str">
        <f aca="false">HYPERLINK("https://mncourtfraud.com/file/MCRO_27-CR-20-3244_Notice of Case Reassignment_2022-01-28_20240430085027.pdf","MCRO_27-CR-20-3244_Notice of Case Reassignment_2022-01-28_20240430085027.pdf")</f>
        <v>MCRO_27-CR-20-3244_Notice of Case Reassignment_2022-01-28_20240430085027.pdf</v>
      </c>
      <c r="F242" s="1" t="s">
        <v>1186</v>
      </c>
      <c r="G242" s="9" t="n">
        <v>44589</v>
      </c>
      <c r="H242" s="1" t="n">
        <v>4</v>
      </c>
    </row>
    <row r="243" customFormat="false" ht="18.7" hidden="false" customHeight="true" outlineLevel="0" collapsed="false">
      <c r="A243" s="1" t="n">
        <v>242</v>
      </c>
      <c r="B243" s="7" t="str">
        <f aca="false">HYPERLINK("https://mncourtfraud.com/file/ADN-31.zip","ADN-31.zip")</f>
        <v>ADN-31.zip</v>
      </c>
      <c r="C243" s="8" t="str">
        <f aca="false">HYPERLINK("https://mncourtfraud.com/file/27-CR-21-1977.pdf","27-CR-21-1977")</f>
        <v>27-CR-21-1977</v>
      </c>
      <c r="D243" s="3" t="s">
        <v>775</v>
      </c>
      <c r="E243" s="8" t="str">
        <f aca="false">HYPERLINK("https://mncourtfraud.com/file/MCRO_27-CR-21-1977_Notice of Case Reassignment_2022-01-28_20240430075621.pdf","MCRO_27-CR-21-1977_Notice of Case Reassignment_2022-01-28_20240430075621.pdf")</f>
        <v>MCRO_27-CR-21-1977_Notice of Case Reassignment_2022-01-28_20240430075621.pdf</v>
      </c>
      <c r="F243" s="1" t="s">
        <v>1187</v>
      </c>
      <c r="G243" s="9" t="n">
        <v>44589</v>
      </c>
      <c r="H243" s="1" t="n">
        <v>4</v>
      </c>
    </row>
    <row r="244" customFormat="false" ht="18.7" hidden="false" customHeight="true" outlineLevel="0" collapsed="false">
      <c r="A244" s="1" t="n">
        <v>243</v>
      </c>
      <c r="B244" s="7" t="str">
        <f aca="false">HYPERLINK("https://mncourtfraud.com/file/ADN-31.zip","ADN-31.zip")</f>
        <v>ADN-31.zip</v>
      </c>
      <c r="C244" s="8" t="str">
        <f aca="false">HYPERLINK("https://mncourtfraud.com/file/27-CR-21-1978.pdf","27-CR-21-1978")</f>
        <v>27-CR-21-1978</v>
      </c>
      <c r="D244" s="3" t="s">
        <v>775</v>
      </c>
      <c r="E244" s="8" t="str">
        <f aca="false">HYPERLINK("https://mncourtfraud.com/file/MCRO_27-CR-21-1978_Notice of Case Reassignment_2022-01-28_20240430075730.pdf","MCRO_27-CR-21-1978_Notice of Case Reassignment_2022-01-28_20240430075730.pdf")</f>
        <v>MCRO_27-CR-21-1978_Notice of Case Reassignment_2022-01-28_20240430075730.pdf</v>
      </c>
      <c r="F244" s="1" t="s">
        <v>1188</v>
      </c>
      <c r="G244" s="9" t="n">
        <v>44589</v>
      </c>
      <c r="H244" s="1" t="n">
        <v>4</v>
      </c>
    </row>
    <row r="245" customFormat="false" ht="18.7" hidden="false" customHeight="true" outlineLevel="0" collapsed="false">
      <c r="A245" s="1" t="n">
        <v>244</v>
      </c>
      <c r="B245" s="7" t="str">
        <f aca="false">HYPERLINK("https://mncourtfraud.com/file/ADN-31.zip","ADN-31.zip")</f>
        <v>ADN-31.zip</v>
      </c>
      <c r="C245" s="8" t="str">
        <f aca="false">HYPERLINK("https://mncourtfraud.com/file/27-CR-20-3244.pdf","27-CR-20-3244")</f>
        <v>27-CR-20-3244</v>
      </c>
      <c r="D245" s="3" t="s">
        <v>796</v>
      </c>
      <c r="E245" s="8" t="str">
        <f aca="false">HYPERLINK("https://mncourtfraud.com/file/MCRO_27-CR-20-3244_Returned Mail_2022-09-09_20240430085015.pdf","MCRO_27-CR-20-3244_Returned Mail_2022-09-09_20240430085015.pdf")</f>
        <v>MCRO_27-CR-20-3244_Returned Mail_2022-09-09_20240430085015.pdf</v>
      </c>
      <c r="F245" s="1" t="s">
        <v>815</v>
      </c>
      <c r="G245" s="9" t="n">
        <v>44813</v>
      </c>
      <c r="H245" s="1" t="n">
        <v>4</v>
      </c>
    </row>
    <row r="246" customFormat="false" ht="18.7" hidden="false" customHeight="true" outlineLevel="0" collapsed="false">
      <c r="A246" s="1" t="n">
        <v>245</v>
      </c>
      <c r="B246" s="7" t="str">
        <f aca="false">HYPERLINK("https://mncourtfraud.com/file/ADN-31.zip","ADN-31.zip")</f>
        <v>ADN-31.zip</v>
      </c>
      <c r="C246" s="8" t="str">
        <f aca="false">HYPERLINK("https://mncourtfraud.com/file/27-CR-21-1977.pdf","27-CR-21-1977")</f>
        <v>27-CR-21-1977</v>
      </c>
      <c r="D246" s="3" t="s">
        <v>775</v>
      </c>
      <c r="E246" s="8" t="str">
        <f aca="false">HYPERLINK("https://mncourtfraud.com/file/MCRO_27-CR-21-1977_Returned Mail_2022-09-09_20240430075607.pdf","MCRO_27-CR-21-1977_Returned Mail_2022-09-09_20240430075607.pdf")</f>
        <v>MCRO_27-CR-21-1977_Returned Mail_2022-09-09_20240430075607.pdf</v>
      </c>
      <c r="F246" s="1" t="s">
        <v>1189</v>
      </c>
      <c r="G246" s="9" t="n">
        <v>44813</v>
      </c>
      <c r="H246" s="1" t="n">
        <v>4</v>
      </c>
    </row>
    <row r="247" customFormat="false" ht="18.7" hidden="false" customHeight="true" outlineLevel="0" collapsed="false">
      <c r="A247" s="1" t="n">
        <v>246</v>
      </c>
      <c r="B247" s="7" t="str">
        <f aca="false">HYPERLINK("https://mncourtfraud.com/file/ADN-31.zip","ADN-31.zip")</f>
        <v>ADN-31.zip</v>
      </c>
      <c r="C247" s="8" t="str">
        <f aca="false">HYPERLINK("https://mncourtfraud.com/file/27-CR-21-1978.pdf","27-CR-21-1978")</f>
        <v>27-CR-21-1978</v>
      </c>
      <c r="D247" s="3" t="s">
        <v>775</v>
      </c>
      <c r="E247" s="8" t="str">
        <f aca="false">HYPERLINK("https://mncourtfraud.com/file/MCRO_27-CR-21-1978_Returned Mail_2022-09-09_20240430075719.pdf","MCRO_27-CR-21-1978_Returned Mail_2022-09-09_20240430075719.pdf")</f>
        <v>MCRO_27-CR-21-1978_Returned Mail_2022-09-09_20240430075719.pdf</v>
      </c>
      <c r="F247" s="1" t="s">
        <v>815</v>
      </c>
      <c r="G247" s="9" t="n">
        <v>44813</v>
      </c>
      <c r="H247" s="1" t="n">
        <v>4</v>
      </c>
    </row>
    <row r="248" customFormat="false" ht="18.7" hidden="false" customHeight="true" outlineLevel="0" collapsed="false">
      <c r="A248" s="1" t="n">
        <v>247</v>
      </c>
      <c r="B248" s="7" t="str">
        <f aca="false">HYPERLINK("https://mncourtfraud.com/file/ADN-31.zip","ADN-31.zip")</f>
        <v>ADN-31.zip</v>
      </c>
      <c r="C248" s="8" t="str">
        <f aca="false">HYPERLINK("https://mncourtfraud.com/file/27-CR-20-3244.pdf","27-CR-20-3244")</f>
        <v>27-CR-20-3244</v>
      </c>
      <c r="D248" s="3" t="s">
        <v>796</v>
      </c>
      <c r="E248" s="8" t="str">
        <f aca="false">HYPERLINK("https://mncourtfraud.com/file/MCRO_27-CR-20-3244_Notice of Hearing_2020-03-18_20240430085043.pdf","MCRO_27-CR-20-3244_Notice of Hearing_2020-03-18_20240430085043.pdf")</f>
        <v>MCRO_27-CR-20-3244_Notice of Hearing_2020-03-18_20240430085043.pdf</v>
      </c>
      <c r="F248" s="1" t="s">
        <v>1190</v>
      </c>
      <c r="G248" s="9" t="n">
        <v>43908</v>
      </c>
      <c r="H248" s="1" t="n">
        <v>1</v>
      </c>
    </row>
    <row r="249" customFormat="false" ht="18.7" hidden="false" customHeight="true" outlineLevel="0" collapsed="false">
      <c r="A249" s="1" t="n">
        <v>248</v>
      </c>
      <c r="B249" s="7" t="str">
        <f aca="false">HYPERLINK("https://mncourtfraud.com/file/ADN-31.zip","ADN-31.zip")</f>
        <v>ADN-31.zip</v>
      </c>
      <c r="C249" s="8" t="str">
        <f aca="false">HYPERLINK("https://mncourtfraud.com/file/27-CR-20-3244.pdf","27-CR-20-3244")</f>
        <v>27-CR-20-3244</v>
      </c>
      <c r="D249" s="3" t="s">
        <v>796</v>
      </c>
      <c r="E249" s="8" t="str">
        <f aca="false">HYPERLINK("https://mncourtfraud.com/file/MCRO_27-CR-20-3244_Returned Mail_2020-06-17_20240430085041.pdf","MCRO_27-CR-20-3244_Returned Mail_2020-06-17_20240430085041.pdf")</f>
        <v>MCRO_27-CR-20-3244_Returned Mail_2020-06-17_20240430085041.pdf</v>
      </c>
      <c r="F249" s="1" t="s">
        <v>1191</v>
      </c>
      <c r="G249" s="9" t="n">
        <v>43999</v>
      </c>
      <c r="H249" s="1" t="n">
        <v>1</v>
      </c>
    </row>
    <row r="250" customFormat="false" ht="18.7" hidden="false" customHeight="true" outlineLevel="0" collapsed="false">
      <c r="A250" s="1" t="n">
        <v>249</v>
      </c>
      <c r="B250" s="7" t="str">
        <f aca="false">HYPERLINK("https://mncourtfraud.com/file/ADN-31.zip","ADN-31.zip")</f>
        <v>ADN-31.zip</v>
      </c>
      <c r="C250" s="8" t="str">
        <f aca="false">HYPERLINK("https://mncourtfraud.com/file/27-CR-20-3244.pdf","27-CR-20-3244")</f>
        <v>27-CR-20-3244</v>
      </c>
      <c r="D250" s="3" t="s">
        <v>796</v>
      </c>
      <c r="E250" s="8" t="str">
        <f aca="false">HYPERLINK("https://mncourtfraud.com/file/MCRO_27-CR-20-3244_Notice of Hearing_2020-11-16_20240430085037.pdf","MCRO_27-CR-20-3244_Notice of Hearing_2020-11-16_20240430085037.pdf")</f>
        <v>MCRO_27-CR-20-3244_Notice of Hearing_2020-11-16_20240430085037.pdf</v>
      </c>
      <c r="F250" s="1" t="s">
        <v>1192</v>
      </c>
      <c r="G250" s="9" t="n">
        <v>44151</v>
      </c>
      <c r="H250" s="1" t="n">
        <v>1</v>
      </c>
    </row>
    <row r="251" customFormat="false" ht="18.7" hidden="false" customHeight="true" outlineLevel="0" collapsed="false">
      <c r="A251" s="1" t="n">
        <v>250</v>
      </c>
      <c r="B251" s="7" t="str">
        <f aca="false">HYPERLINK("https://mncourtfraud.com/file/ADN-31.zip","ADN-31.zip")</f>
        <v>ADN-31.zip</v>
      </c>
      <c r="C251" s="8" t="str">
        <f aca="false">HYPERLINK("https://mncourtfraud.com/file/27-CR-21-1977.pdf","27-CR-21-1977")</f>
        <v>27-CR-21-1977</v>
      </c>
      <c r="D251" s="3" t="s">
        <v>775</v>
      </c>
      <c r="E251" s="8" t="str">
        <f aca="false">HYPERLINK("https://mncourtfraud.com/file/MCRO_27-CR-21-1977_Warrant Issued_2021-03-25_20240430075630.pdf","MCRO_27-CR-21-1977_Warrant Issued_2021-03-25_20240430075630.pdf")</f>
        <v>MCRO_27-CR-21-1977_Warrant Issued_2021-03-25_20240430075630.pdf</v>
      </c>
      <c r="F251" s="1" t="s">
        <v>1193</v>
      </c>
      <c r="G251" s="9" t="n">
        <v>44280</v>
      </c>
      <c r="H251" s="1" t="n">
        <v>1</v>
      </c>
    </row>
    <row r="252" customFormat="false" ht="18.7" hidden="false" customHeight="true" outlineLevel="0" collapsed="false">
      <c r="A252" s="1" t="n">
        <v>251</v>
      </c>
      <c r="B252" s="7" t="str">
        <f aca="false">HYPERLINK("https://mncourtfraud.com/file/ADN-31.zip","ADN-31.zip")</f>
        <v>ADN-31.zip</v>
      </c>
      <c r="C252" s="8" t="str">
        <f aca="false">HYPERLINK("https://mncourtfraud.com/file/27-CR-21-1978.pdf","27-CR-21-1978")</f>
        <v>27-CR-21-1978</v>
      </c>
      <c r="D252" s="3" t="s">
        <v>775</v>
      </c>
      <c r="E252" s="8" t="str">
        <f aca="false">HYPERLINK("https://mncourtfraud.com/file/MCRO_27-CR-21-1978_Warrant Issued_2021-03-25_20240430075739.pdf","MCRO_27-CR-21-1978_Warrant Issued_2021-03-25_20240430075739.pdf")</f>
        <v>MCRO_27-CR-21-1978_Warrant Issued_2021-03-25_20240430075739.pdf</v>
      </c>
      <c r="F252" s="1" t="s">
        <v>1194</v>
      </c>
      <c r="G252" s="9" t="n">
        <v>44280</v>
      </c>
      <c r="H252" s="1" t="n">
        <v>1</v>
      </c>
    </row>
    <row r="253" customFormat="false" ht="18.7" hidden="false" customHeight="true" outlineLevel="0" collapsed="false">
      <c r="A253" s="1" t="n">
        <v>252</v>
      </c>
      <c r="B253" s="7" t="str">
        <f aca="false">HYPERLINK("https://mncourtfraud.com/file/ADN-31.zip","ADN-31.zip")</f>
        <v>ADN-31.zip</v>
      </c>
      <c r="C253" s="8" t="str">
        <f aca="false">HYPERLINK("https://mncourtfraud.com/file/27-CR-20-3244.pdf","27-CR-20-3244")</f>
        <v>27-CR-20-3244</v>
      </c>
      <c r="D253" s="3" t="s">
        <v>796</v>
      </c>
      <c r="E253" s="8" t="str">
        <f aca="false">HYPERLINK("https://mncourtfraud.com/file/MCRO_27-CR-20-3244_Notice of Case Reassignment_2021-03-30_20240430085033.pdf","MCRO_27-CR-20-3244_Notice of Case Reassignment_2021-03-30_20240430085033.pdf")</f>
        <v>MCRO_27-CR-20-3244_Notice of Case Reassignment_2021-03-30_20240430085033.pdf</v>
      </c>
      <c r="F253" s="1" t="s">
        <v>1195</v>
      </c>
      <c r="G253" s="9" t="n">
        <v>44285</v>
      </c>
      <c r="H253" s="1" t="n">
        <v>1</v>
      </c>
    </row>
    <row r="254" customFormat="false" ht="18.7" hidden="false" customHeight="true" outlineLevel="0" collapsed="false">
      <c r="A254" s="1" t="n">
        <v>253</v>
      </c>
      <c r="B254" s="7" t="str">
        <f aca="false">HYPERLINK("https://mncourtfraud.com/file/ADN-31.zip","ADN-31.zip")</f>
        <v>ADN-31.zip</v>
      </c>
      <c r="C254" s="8" t="str">
        <f aca="false">HYPERLINK("https://mncourtfraud.com/file/27-CR-20-3244.pdf","27-CR-20-3244")</f>
        <v>27-CR-20-3244</v>
      </c>
      <c r="D254" s="3" t="s">
        <v>796</v>
      </c>
      <c r="E254" s="8" t="str">
        <f aca="false">HYPERLINK("https://mncourtfraud.com/file/MCRO_27-CR-20-3244_Notice of Remote Hearing with Instructions_2021-06-21_20240430085031.pdf","MCRO_27-CR-20-3244_Notice of Remote Hearing with Instructions_2021-06-21_20240430085031.pdf")</f>
        <v>MCRO_27-CR-20-3244_Notice of Remote Hearing with Instructions_2021-06-21_20240430085031.pdf</v>
      </c>
      <c r="F254" s="1" t="s">
        <v>1196</v>
      </c>
      <c r="G254" s="9" t="n">
        <v>44368</v>
      </c>
      <c r="H254" s="1" t="n">
        <v>1</v>
      </c>
    </row>
    <row r="255" customFormat="false" ht="18.7" hidden="false" customHeight="true" outlineLevel="0" collapsed="false">
      <c r="A255" s="1" t="n">
        <v>254</v>
      </c>
      <c r="B255" s="7" t="str">
        <f aca="false">HYPERLINK("https://mncourtfraud.com/file/ADN-31.zip","ADN-31.zip")</f>
        <v>ADN-31.zip</v>
      </c>
      <c r="C255" s="8" t="str">
        <f aca="false">HYPERLINK("https://mncourtfraud.com/file/27-CR-21-1977.pdf","27-CR-21-1977")</f>
        <v>27-CR-21-1977</v>
      </c>
      <c r="D255" s="3" t="s">
        <v>775</v>
      </c>
      <c r="E255" s="8" t="str">
        <f aca="false">HYPERLINK("https://mncourtfraud.com/file/MCRO_27-CR-21-1977_Notice of Remote Hearing with Instructions_2021-06-21_20240430075625.pdf","MCRO_27-CR-21-1977_Notice of Remote Hearing with Instructions_2021-06-21_20240430075625.pdf")</f>
        <v>MCRO_27-CR-21-1977_Notice of Remote Hearing with Instructions_2021-06-21_20240430075625.pdf</v>
      </c>
      <c r="F255" s="1" t="s">
        <v>1197</v>
      </c>
      <c r="G255" s="9" t="n">
        <v>44368</v>
      </c>
      <c r="H255" s="1" t="n">
        <v>1</v>
      </c>
    </row>
    <row r="256" customFormat="false" ht="18.7" hidden="false" customHeight="true" outlineLevel="0" collapsed="false">
      <c r="A256" s="1" t="n">
        <v>255</v>
      </c>
      <c r="B256" s="7" t="str">
        <f aca="false">HYPERLINK("https://mncourtfraud.com/file/ADN-31.zip","ADN-31.zip")</f>
        <v>ADN-31.zip</v>
      </c>
      <c r="C256" s="8" t="str">
        <f aca="false">HYPERLINK("https://mncourtfraud.com/file/27-CR-21-1978.pdf","27-CR-21-1978")</f>
        <v>27-CR-21-1978</v>
      </c>
      <c r="D256" s="3" t="s">
        <v>775</v>
      </c>
      <c r="E256" s="8" t="str">
        <f aca="false">HYPERLINK("https://mncourtfraud.com/file/MCRO_27-CR-21-1978_Notice of Remote Hearing with Instructions_2021-06-21_20240430075734.pdf","MCRO_27-CR-21-1978_Notice of Remote Hearing with Instructions_2021-06-21_20240430075734.pdf")</f>
        <v>MCRO_27-CR-21-1978_Notice of Remote Hearing with Instructions_2021-06-21_20240430075734.pdf</v>
      </c>
      <c r="F256" s="1" t="s">
        <v>1198</v>
      </c>
      <c r="G256" s="9" t="n">
        <v>44368</v>
      </c>
      <c r="H256" s="1" t="n">
        <v>1</v>
      </c>
    </row>
    <row r="257" customFormat="false" ht="18.7" hidden="false" customHeight="true" outlineLevel="0" collapsed="false">
      <c r="A257" s="1" t="n">
        <v>256</v>
      </c>
      <c r="B257" s="7" t="str">
        <f aca="false">HYPERLINK("https://mncourtfraud.com/file/ADN-31.zip","ADN-31.zip")</f>
        <v>ADN-31.zip</v>
      </c>
      <c r="C257" s="8" t="str">
        <f aca="false">HYPERLINK("https://mncourtfraud.com/file/27-CR-20-3244.pdf","27-CR-20-3244")</f>
        <v>27-CR-20-3244</v>
      </c>
      <c r="D257" s="3" t="s">
        <v>796</v>
      </c>
      <c r="E257" s="8" t="str">
        <f aca="false">HYPERLINK("https://mncourtfraud.com/file/MCRO_27-CR-20-3244_Notice of Remote Hearing with Instructions_2021-07-21_20240430085030.pdf","MCRO_27-CR-20-3244_Notice of Remote Hearing with Instructions_2021-07-21_20240430085030.pdf")</f>
        <v>MCRO_27-CR-20-3244_Notice of Remote Hearing with Instructions_2021-07-21_20240430085030.pdf</v>
      </c>
      <c r="F257" s="1" t="s">
        <v>1199</v>
      </c>
      <c r="G257" s="9" t="n">
        <v>44398</v>
      </c>
      <c r="H257" s="1" t="n">
        <v>1</v>
      </c>
    </row>
    <row r="258" customFormat="false" ht="18.7" hidden="false" customHeight="true" outlineLevel="0" collapsed="false">
      <c r="A258" s="1" t="n">
        <v>257</v>
      </c>
      <c r="B258" s="7" t="str">
        <f aca="false">HYPERLINK("https://mncourtfraud.com/file/ADN-31.zip","ADN-31.zip")</f>
        <v>ADN-31.zip</v>
      </c>
      <c r="C258" s="8" t="str">
        <f aca="false">HYPERLINK("https://mncourtfraud.com/file/27-CR-21-1977.pdf","27-CR-21-1977")</f>
        <v>27-CR-21-1977</v>
      </c>
      <c r="D258" s="3" t="s">
        <v>775</v>
      </c>
      <c r="E258" s="8" t="str">
        <f aca="false">HYPERLINK("https://mncourtfraud.com/file/MCRO_27-CR-21-1977_Notice of Remote Hearing with Instructions_2021-07-21_20240430075624.pdf","MCRO_27-CR-21-1977_Notice of Remote Hearing with Instructions_2021-07-21_20240430075624.pdf")</f>
        <v>MCRO_27-CR-21-1977_Notice of Remote Hearing with Instructions_2021-07-21_20240430075624.pdf</v>
      </c>
      <c r="F258" s="1" t="s">
        <v>787</v>
      </c>
      <c r="G258" s="9" t="n">
        <v>44398</v>
      </c>
      <c r="H258" s="1" t="n">
        <v>1</v>
      </c>
    </row>
    <row r="259" customFormat="false" ht="18.7" hidden="false" customHeight="true" outlineLevel="0" collapsed="false">
      <c r="A259" s="1" t="n">
        <v>258</v>
      </c>
      <c r="B259" s="7" t="str">
        <f aca="false">HYPERLINK("https://mncourtfraud.com/file/ADN-31.zip","ADN-31.zip")</f>
        <v>ADN-31.zip</v>
      </c>
      <c r="C259" s="8" t="str">
        <f aca="false">HYPERLINK("https://mncourtfraud.com/file/27-CR-21-1978.pdf","27-CR-21-1978")</f>
        <v>27-CR-21-1978</v>
      </c>
      <c r="D259" s="3" t="s">
        <v>775</v>
      </c>
      <c r="E259" s="8" t="str">
        <f aca="false">HYPERLINK("https://mncourtfraud.com/file/MCRO_27-CR-21-1978_Notice of Remote Hearing with Instructions_2021-07-21_20240430075733.pdf","MCRO_27-CR-21-1978_Notice of Remote Hearing with Instructions_2021-07-21_20240430075733.pdf")</f>
        <v>MCRO_27-CR-21-1978_Notice of Remote Hearing with Instructions_2021-07-21_20240430075733.pdf</v>
      </c>
      <c r="F259" s="1" t="s">
        <v>787</v>
      </c>
      <c r="G259" s="9" t="n">
        <v>44398</v>
      </c>
      <c r="H259" s="1" t="n">
        <v>1</v>
      </c>
    </row>
    <row r="260" customFormat="false" ht="18.7" hidden="false" customHeight="true" outlineLevel="0" collapsed="false">
      <c r="A260" s="1" t="n">
        <v>259</v>
      </c>
      <c r="B260" s="7" t="str">
        <f aca="false">HYPERLINK("https://mncourtfraud.com/file/ADN-31.zip","ADN-31.zip")</f>
        <v>ADN-31.zip</v>
      </c>
      <c r="C260" s="8" t="str">
        <f aca="false">HYPERLINK("https://mncourtfraud.com/file/27-CR-20-3244.pdf","27-CR-20-3244")</f>
        <v>27-CR-20-3244</v>
      </c>
      <c r="D260" s="3" t="s">
        <v>796</v>
      </c>
      <c r="E260" s="8" t="str">
        <f aca="false">HYPERLINK("https://mncourtfraud.com/file/MCRO_27-CR-20-3244_Returned Mail_2022-04-27_20240430085019.pdf","MCRO_27-CR-20-3244_Returned Mail_2022-04-27_20240430085019.pdf")</f>
        <v>MCRO_27-CR-20-3244_Returned Mail_2022-04-27_20240430085019.pdf</v>
      </c>
      <c r="F260" s="1" t="s">
        <v>806</v>
      </c>
      <c r="G260" s="9" t="n">
        <v>44678</v>
      </c>
      <c r="H260" s="1" t="n">
        <v>1</v>
      </c>
    </row>
    <row r="261" customFormat="false" ht="18.7" hidden="false" customHeight="true" outlineLevel="0" collapsed="false">
      <c r="A261" s="1" t="n">
        <v>260</v>
      </c>
      <c r="B261" s="7" t="str">
        <f aca="false">HYPERLINK("https://mncourtfraud.com/file/ADN-31.zip","ADN-31.zip")</f>
        <v>ADN-31.zip</v>
      </c>
      <c r="C261" s="8" t="str">
        <f aca="false">HYPERLINK("https://mncourtfraud.com/file/27-CR-21-1977.pdf","27-CR-21-1977")</f>
        <v>27-CR-21-1977</v>
      </c>
      <c r="D261" s="3" t="s">
        <v>775</v>
      </c>
      <c r="E261" s="8" t="str">
        <f aca="false">HYPERLINK("https://mncourtfraud.com/file/MCRO_27-CR-21-1977_Returned Mail_2022-04-27_20240430075612.pdf","MCRO_27-CR-21-1977_Returned Mail_2022-04-27_20240430075612.pdf")</f>
        <v>MCRO_27-CR-21-1977_Returned Mail_2022-04-27_20240430075612.pdf</v>
      </c>
      <c r="F261" s="1" t="s">
        <v>1200</v>
      </c>
      <c r="G261" s="9" t="n">
        <v>44678</v>
      </c>
      <c r="H261" s="1" t="n">
        <v>1</v>
      </c>
    </row>
    <row r="262" customFormat="false" ht="18.7" hidden="false" customHeight="true" outlineLevel="0" collapsed="false">
      <c r="A262" s="1" t="n">
        <v>261</v>
      </c>
      <c r="B262" s="7" t="str">
        <f aca="false">HYPERLINK("https://mncourtfraud.com/file/ADN-31.zip","ADN-31.zip")</f>
        <v>ADN-31.zip</v>
      </c>
      <c r="C262" s="8" t="str">
        <f aca="false">HYPERLINK("https://mncourtfraud.com/file/27-CR-21-1978.pdf","27-CR-21-1978")</f>
        <v>27-CR-21-1978</v>
      </c>
      <c r="D262" s="3" t="s">
        <v>775</v>
      </c>
      <c r="E262" s="8" t="str">
        <f aca="false">HYPERLINK("https://mncourtfraud.com/file/MCRO_27-CR-21-1978_Returned Mail_2022-04-27_20240430075723.pdf","MCRO_27-CR-21-1978_Returned Mail_2022-04-27_20240430075723.pdf")</f>
        <v>MCRO_27-CR-21-1978_Returned Mail_2022-04-27_20240430075723.pdf</v>
      </c>
      <c r="F262" s="1" t="s">
        <v>806</v>
      </c>
      <c r="G262" s="9" t="n">
        <v>44678</v>
      </c>
      <c r="H262" s="1" t="n">
        <v>1</v>
      </c>
    </row>
    <row r="263" customFormat="false" ht="18.7" hidden="false" customHeight="true" outlineLevel="0" collapsed="false">
      <c r="A263" s="1" t="n">
        <v>262</v>
      </c>
      <c r="B263" s="7" t="str">
        <f aca="false">HYPERLINK("https://mncourtfraud.com/file/ADN-31.zip","ADN-31.zip")</f>
        <v>ADN-31.zip</v>
      </c>
      <c r="C263" s="8" t="str">
        <f aca="false">HYPERLINK("https://mncourtfraud.com/file/27-CR-21-1977.pdf","27-CR-21-1977")</f>
        <v>27-CR-21-1977</v>
      </c>
      <c r="D263" s="3" t="s">
        <v>775</v>
      </c>
      <c r="E263" s="8" t="str">
        <f aca="false">HYPERLINK("https://mncourtfraud.com/file/MCRO_27-CR-21-1977_Returned Mail_2022-08-04_20240430075610.pdf","MCRO_27-CR-21-1977_Returned Mail_2022-08-04_20240430075610.pdf")</f>
        <v>MCRO_27-CR-21-1977_Returned Mail_2022-08-04_20240430075610.pdf</v>
      </c>
      <c r="F263" s="1" t="s">
        <v>1201</v>
      </c>
      <c r="G263" s="9" t="n">
        <v>44777</v>
      </c>
      <c r="H263" s="1" t="n">
        <v>1</v>
      </c>
    </row>
    <row r="264" customFormat="false" ht="18.7" hidden="false" customHeight="true" outlineLevel="0" collapsed="false">
      <c r="A264" s="1" t="n">
        <v>263</v>
      </c>
      <c r="B264" s="7" t="str">
        <f aca="false">HYPERLINK("https://mncourtfraud.com/file/ADN-31.zip","ADN-31.zip")</f>
        <v>ADN-31.zip</v>
      </c>
      <c r="C264" s="8" t="str">
        <f aca="false">HYPERLINK("https://mncourtfraud.com/file/27-CR-21-1977.pdf","27-CR-21-1977")</f>
        <v>27-CR-21-1977</v>
      </c>
      <c r="D264" s="3" t="s">
        <v>775</v>
      </c>
      <c r="E264" s="8" t="str">
        <f aca="false">HYPERLINK("https://mncourtfraud.com/file/MCRO_27-CR-21-1977_Returned Mail_2022-11-01_20240430075603.pdf","MCRO_27-CR-21-1977_Returned Mail_2022-11-01_20240430075603.pdf")</f>
        <v>MCRO_27-CR-21-1977_Returned Mail_2022-11-01_20240430075603.pdf</v>
      </c>
      <c r="F264" s="1" t="s">
        <v>831</v>
      </c>
      <c r="G264" s="9" t="n">
        <v>44866</v>
      </c>
      <c r="H264" s="1" t="n">
        <v>1</v>
      </c>
    </row>
    <row r="265" customFormat="false" ht="18.7" hidden="false" customHeight="true" outlineLevel="0" collapsed="false">
      <c r="A265" s="1" t="n">
        <v>264</v>
      </c>
      <c r="B265" s="7" t="str">
        <f aca="false">HYPERLINK("https://mncourtfraud.com/file/ADN-31.zip","ADN-31.zip")</f>
        <v>ADN-31.zip</v>
      </c>
      <c r="C265" s="8" t="str">
        <f aca="false">HYPERLINK("https://mncourtfraud.com/file/27-CR-21-1978.pdf","27-CR-21-1978")</f>
        <v>27-CR-21-1978</v>
      </c>
      <c r="D265" s="3" t="s">
        <v>775</v>
      </c>
      <c r="E265" s="8" t="str">
        <f aca="false">HYPERLINK("https://mncourtfraud.com/file/MCRO_27-CR-21-1978_Returned Mail_2022-11-01_20240430075714.pdf","MCRO_27-CR-21-1978_Returned Mail_2022-11-01_20240430075714.pdf")</f>
        <v>MCRO_27-CR-21-1978_Returned Mail_2022-11-01_20240430075714.pdf</v>
      </c>
      <c r="F265" s="1" t="s">
        <v>831</v>
      </c>
      <c r="G265" s="9" t="n">
        <v>44866</v>
      </c>
      <c r="H265" s="1" t="n">
        <v>1</v>
      </c>
    </row>
    <row r="266" customFormat="false" ht="18.7" hidden="false" customHeight="true" outlineLevel="0" collapsed="false">
      <c r="A266" s="1" t="n">
        <v>265</v>
      </c>
      <c r="B266" s="7" t="str">
        <f aca="false">HYPERLINK("https://mncourtfraud.com/file/ADN-31.zip","ADN-31.zip")</f>
        <v>ADN-31.zip</v>
      </c>
      <c r="C266" s="8" t="str">
        <f aca="false">HYPERLINK("https://mncourtfraud.com/file/27-CR-21-1977.pdf","27-CR-21-1977")</f>
        <v>27-CR-21-1977</v>
      </c>
      <c r="D266" s="3" t="s">
        <v>775</v>
      </c>
      <c r="E266" s="8" t="str">
        <f aca="false">HYPERLINK("https://mncourtfraud.com/file/MCRO_27-CR-21-1977_Returned Mail_2023-05-09_20240430075559.pdf","MCRO_27-CR-21-1977_Returned Mail_2023-05-09_20240430075559.pdf")</f>
        <v>MCRO_27-CR-21-1977_Returned Mail_2023-05-09_20240430075559.pdf</v>
      </c>
      <c r="F266" s="1" t="s">
        <v>1202</v>
      </c>
      <c r="G266" s="9" t="n">
        <v>45055</v>
      </c>
      <c r="H266" s="1" t="n">
        <v>1</v>
      </c>
    </row>
    <row r="267" customFormat="false" ht="18.7" hidden="false" customHeight="true" outlineLevel="0" collapsed="false">
      <c r="A267" s="1" t="n">
        <v>266</v>
      </c>
      <c r="B267" s="7" t="str">
        <f aca="false">HYPERLINK("https://mncourtfraud.com/file/ADN-31.zip","ADN-31.zip")</f>
        <v>ADN-31.zip</v>
      </c>
      <c r="C267" s="8" t="str">
        <f aca="false">HYPERLINK("https://mncourtfraud.com/file/27-CR-20-3244.pdf","27-CR-20-3244")</f>
        <v>27-CR-20-3244</v>
      </c>
      <c r="D267" s="3" t="s">
        <v>796</v>
      </c>
      <c r="E267" s="8" t="str">
        <f aca="false">HYPERLINK("https://mncourtfraud.com/file/MCRO_27-CR-20-3244_Returned Mail_2023-11-14_20240430084959.pdf","MCRO_27-CR-20-3244_Returned Mail_2023-11-14_20240430084959.pdf")</f>
        <v>MCRO_27-CR-20-3244_Returned Mail_2023-11-14_20240430084959.pdf</v>
      </c>
      <c r="F267" s="1" t="s">
        <v>872</v>
      </c>
      <c r="G267" s="9" t="n">
        <v>45244</v>
      </c>
      <c r="H267" s="1" t="n">
        <v>1</v>
      </c>
    </row>
    <row r="268" customFormat="false" ht="18.7" hidden="false" customHeight="true" outlineLevel="0" collapsed="false">
      <c r="A268" s="1" t="n">
        <v>267</v>
      </c>
      <c r="B268" s="7" t="str">
        <f aca="false">HYPERLINK("https://mncourtfraud.com/file/ADN-31.zip","ADN-31.zip")</f>
        <v>ADN-31.zip</v>
      </c>
      <c r="C268" s="8" t="str">
        <f aca="false">HYPERLINK("https://mncourtfraud.com/file/27-CR-21-1977.pdf","27-CR-21-1977")</f>
        <v>27-CR-21-1977</v>
      </c>
      <c r="D268" s="3" t="s">
        <v>775</v>
      </c>
      <c r="E268" s="8" t="str">
        <f aca="false">HYPERLINK("https://mncourtfraud.com/file/MCRO_27-CR-21-1977_Returned Mail_2023-11-14_20240430075549.pdf","MCRO_27-CR-21-1977_Returned Mail_2023-11-14_20240430075549.pdf")</f>
        <v>MCRO_27-CR-21-1977_Returned Mail_2023-11-14_20240430075549.pdf</v>
      </c>
      <c r="F268" s="1" t="s">
        <v>1203</v>
      </c>
      <c r="G268" s="9" t="n">
        <v>45244</v>
      </c>
      <c r="H268" s="1" t="n">
        <v>1</v>
      </c>
    </row>
    <row r="269" customFormat="false" ht="18.7" hidden="false" customHeight="true" outlineLevel="0" collapsed="false">
      <c r="A269" s="1" t="n">
        <v>268</v>
      </c>
      <c r="B269" s="7" t="str">
        <f aca="false">HYPERLINK("https://mncourtfraud.com/file/ADN-31.zip","ADN-31.zip")</f>
        <v>ADN-31.zip</v>
      </c>
      <c r="C269" s="8" t="str">
        <f aca="false">HYPERLINK("https://mncourtfraud.com/file/27-CR-21-1978.pdf","27-CR-21-1978")</f>
        <v>27-CR-21-1978</v>
      </c>
      <c r="D269" s="3" t="s">
        <v>775</v>
      </c>
      <c r="E269" s="8" t="str">
        <f aca="false">HYPERLINK("https://mncourtfraud.com/file/MCRO_27-CR-21-1978_Returned Mail_2023-11-14_20240430075701.pdf","MCRO_27-CR-21-1978_Returned Mail_2023-11-14_20240430075701.pdf")</f>
        <v>MCRO_27-CR-21-1978_Returned Mail_2023-11-14_20240430075701.pdf</v>
      </c>
      <c r="F269" s="1" t="s">
        <v>1204</v>
      </c>
      <c r="G269" s="9" t="n">
        <v>45244</v>
      </c>
      <c r="H269" s="1" t="n">
        <v>1</v>
      </c>
    </row>
    <row r="270" customFormat="false" ht="18.7" hidden="false" customHeight="true" outlineLevel="0" collapsed="false">
      <c r="A270" s="1" t="n">
        <v>269</v>
      </c>
      <c r="B270" s="7" t="str">
        <f aca="false">HYPERLINK("https://mncourtfraud.com/file/ADN-31.zip","ADN-31.zip")</f>
        <v>ADN-31.zip</v>
      </c>
      <c r="C270" s="8" t="str">
        <f aca="false">HYPERLINK("https://mncourtfraud.com/file/27-CR-22-20033.pdf","27-CR-22-20033")</f>
        <v>27-CR-22-20033</v>
      </c>
      <c r="D270" s="3" t="s">
        <v>775</v>
      </c>
      <c r="E270" s="8" t="str">
        <f aca="false">HYPERLINK("https://mncourtfraud.com/file/MCRO_27-CR-22-20033_Returned Mail_2023-11-14_20240429162642.pdf","MCRO_27-CR-22-20033_Returned Mail_2023-11-14_20240429162642.pdf")</f>
        <v>MCRO_27-CR-22-20033_Returned Mail_2023-11-14_20240429162642.pdf</v>
      </c>
      <c r="F270" s="1" t="s">
        <v>872</v>
      </c>
      <c r="G270" s="9" t="n">
        <v>45244</v>
      </c>
      <c r="H270" s="1" t="n">
        <v>1</v>
      </c>
    </row>
    <row r="271" customFormat="false" ht="18.7" hidden="false" customHeight="true" outlineLevel="0" collapsed="false">
      <c r="A271" s="1" t="n">
        <v>270</v>
      </c>
      <c r="B271" s="7" t="str">
        <f aca="false">HYPERLINK("https://mncourtfraud.com/file/ADN-31.zip","ADN-31.zip")</f>
        <v>ADN-31.zip</v>
      </c>
      <c r="C271" s="8" t="str">
        <f aca="false">HYPERLINK("https://mncourtfraud.com/file/27-CR-20-3244.pdf","27-CR-20-3244")</f>
        <v>27-CR-20-3244</v>
      </c>
      <c r="D271" s="3" t="s">
        <v>796</v>
      </c>
      <c r="E271" s="8" t="str">
        <f aca="false">HYPERLINK("https://mncourtfraud.com/file/MCRO_27-CR-20-3244_Order-Other_2023-12-11_20240430084957.pdf","MCRO_27-CR-20-3244_Order-Other_2023-12-11_20240430084957.pdf")</f>
        <v>MCRO_27-CR-20-3244_Order-Other_2023-12-11_20240430084957.pdf</v>
      </c>
      <c r="F271" s="1" t="s">
        <v>1205</v>
      </c>
      <c r="G271" s="9" t="n">
        <v>45271</v>
      </c>
      <c r="H271" s="1" t="n">
        <v>1</v>
      </c>
    </row>
    <row r="272" customFormat="false" ht="18.7" hidden="false" customHeight="true" outlineLevel="0" collapsed="false">
      <c r="A272" s="1" t="n">
        <v>271</v>
      </c>
      <c r="B272" s="7" t="str">
        <f aca="false">HYPERLINK("https://mncourtfraud.com/file/ADN-31.zip","ADN-31.zip")</f>
        <v>ADN-31.zip</v>
      </c>
      <c r="C272" s="8" t="str">
        <f aca="false">HYPERLINK("https://mncourtfraud.com/file/27-CR-20-3244.pdf","27-CR-20-3244")</f>
        <v>27-CR-20-3244</v>
      </c>
      <c r="D272" s="3" t="s">
        <v>796</v>
      </c>
      <c r="E272" s="8" t="str">
        <f aca="false">HYPERLINK("https://mncourtfraud.com/file/MCRO_27-CR-20-3244_Petition to Enter Guilty Plea_2023-12-11_20240430084956.pdf","MCRO_27-CR-20-3244_Petition to Enter Guilty Plea_2023-12-11_20240430084956.pdf")</f>
        <v>MCRO_27-CR-20-3244_Petition to Enter Guilty Plea_2023-12-11_20240430084956.pdf</v>
      </c>
      <c r="F272" s="1" t="s">
        <v>1206</v>
      </c>
      <c r="G272" s="9" t="n">
        <v>45271</v>
      </c>
      <c r="H272" s="1" t="n">
        <v>1</v>
      </c>
    </row>
    <row r="273" customFormat="false" ht="18.7" hidden="false" customHeight="true" outlineLevel="0" collapsed="false">
      <c r="A273" s="1" t="n">
        <v>272</v>
      </c>
      <c r="B273" s="7" t="str">
        <f aca="false">HYPERLINK("https://mncourtfraud.com/file/ADN-31.zip","ADN-31.zip")</f>
        <v>ADN-31.zip</v>
      </c>
      <c r="C273" s="8" t="str">
        <f aca="false">HYPERLINK("https://mncourtfraud.com/file/27-CR-20-3244.pdf","27-CR-20-3244")</f>
        <v>27-CR-20-3244</v>
      </c>
      <c r="D273" s="3" t="s">
        <v>796</v>
      </c>
      <c r="E273" s="8" t="str">
        <f aca="false">HYPERLINK("https://mncourtfraud.com/file/MCRO_27-CR-20-3244_Sentencing Order_2023-12-11_20240430084955.pdf","MCRO_27-CR-20-3244_Sentencing Order_2023-12-11_20240430084955.pdf")</f>
        <v>MCRO_27-CR-20-3244_Sentencing Order_2023-12-11_20240430084955.pdf</v>
      </c>
      <c r="F273" s="1" t="s">
        <v>1207</v>
      </c>
      <c r="G273" s="9" t="n">
        <v>45271</v>
      </c>
      <c r="H273" s="1" t="n">
        <v>1</v>
      </c>
    </row>
    <row r="274" customFormat="false" ht="18.7" hidden="false" customHeight="true" outlineLevel="0" collapsed="false">
      <c r="A274" s="1" t="n">
        <v>273</v>
      </c>
      <c r="B274" s="7" t="str">
        <f aca="false">HYPERLINK("https://mncourtfraud.com/file/ADN-31.zip","ADN-31.zip")</f>
        <v>ADN-31.zip</v>
      </c>
      <c r="C274" s="8" t="str">
        <f aca="false">HYPERLINK("https://mncourtfraud.com/file/27-CR-22-20033.pdf","27-CR-22-20033")</f>
        <v>27-CR-22-20033</v>
      </c>
      <c r="D274" s="3" t="s">
        <v>775</v>
      </c>
      <c r="E274" s="8" t="str">
        <f aca="false">HYPERLINK("https://mncourtfraud.com/file/MCRO_27-CR-22-20033_Order-Other_2023-12-11_20240429162639.pdf","MCRO_27-CR-22-20033_Order-Other_2023-12-11_20240429162639.pdf")</f>
        <v>MCRO_27-CR-22-20033_Order-Other_2023-12-11_20240429162639.pdf</v>
      </c>
      <c r="F274" s="1" t="s">
        <v>1208</v>
      </c>
      <c r="G274" s="9" t="n">
        <v>45271</v>
      </c>
      <c r="H274" s="1" t="n">
        <v>1</v>
      </c>
    </row>
    <row r="275" customFormat="false" ht="18.7" hidden="false" customHeight="true" outlineLevel="0" collapsed="false">
      <c r="A275" s="1" t="n">
        <v>274</v>
      </c>
      <c r="B275" s="7" t="str">
        <f aca="false">HYPERLINK("https://mncourtfraud.com/file/ADN-31.zip","ADN-31.zip")</f>
        <v>ADN-31.zip</v>
      </c>
      <c r="C275" s="8" t="str">
        <f aca="false">HYPERLINK("https://mncourtfraud.com/file/27-CR-22-20033.pdf","27-CR-22-20033")</f>
        <v>27-CR-22-20033</v>
      </c>
      <c r="D275" s="3" t="s">
        <v>775</v>
      </c>
      <c r="E275" s="8" t="str">
        <f aca="false">HYPERLINK("https://mncourtfraud.com/file/MCRO_27-CR-22-20033_Petition to Enter Guilty Plea_2023-12-11_20240429162638.pdf","MCRO_27-CR-22-20033_Petition to Enter Guilty Plea_2023-12-11_20240429162638.pdf")</f>
        <v>MCRO_27-CR-22-20033_Petition to Enter Guilty Plea_2023-12-11_20240429162638.pdf</v>
      </c>
      <c r="F275" s="1" t="s">
        <v>1209</v>
      </c>
      <c r="G275" s="9" t="n">
        <v>45271</v>
      </c>
      <c r="H275" s="1" t="n">
        <v>1</v>
      </c>
    </row>
    <row r="276" customFormat="false" ht="18.7" hidden="false" customHeight="true" outlineLevel="0" collapsed="false">
      <c r="A276" s="1" t="n">
        <v>275</v>
      </c>
      <c r="B276" s="7" t="str">
        <f aca="false">HYPERLINK("https://mncourtfraud.com/file/ADN-31.zip","ADN-31.zip")</f>
        <v>ADN-31.zip</v>
      </c>
      <c r="C276" s="8" t="str">
        <f aca="false">HYPERLINK("https://mncourtfraud.com/file/27-CR-22-20033.pdf","27-CR-22-20033")</f>
        <v>27-CR-22-20033</v>
      </c>
      <c r="D276" s="3" t="s">
        <v>775</v>
      </c>
      <c r="E276" s="8" t="str">
        <f aca="false">HYPERLINK("https://mncourtfraud.com/file/MCRO_27-CR-22-20033_Sentencing Order_2023-12-11_20240429162637.pdf","MCRO_27-CR-22-20033_Sentencing Order_2023-12-11_20240429162637.pdf")</f>
        <v>MCRO_27-CR-22-20033_Sentencing Order_2023-12-11_20240429162637.pdf</v>
      </c>
      <c r="F276" s="1" t="s">
        <v>1210</v>
      </c>
      <c r="G276" s="9" t="n">
        <v>45271</v>
      </c>
      <c r="H276" s="1" t="n">
        <v>1</v>
      </c>
    </row>
    <row r="277" customFormat="false" ht="18.7" hidden="false" customHeight="true" outlineLevel="0" collapsed="false">
      <c r="A277" s="1" t="n">
        <v>276</v>
      </c>
      <c r="G277" s="9"/>
    </row>
    <row r="278" customFormat="false" ht="18.7" hidden="false" customHeight="true" outlineLevel="0" collapsed="false">
      <c r="A278" s="1" t="n">
        <v>277</v>
      </c>
      <c r="B278" s="7" t="str">
        <f aca="false">HYPERLINK("https://mncourtfraud.com/file/AMW-18.zip","AMW-18.zip")</f>
        <v>AMW-18.zip</v>
      </c>
      <c r="C278" s="8" t="str">
        <f aca="false">HYPERLINK("https://mncourtfraud.com/file/27-CR-17-1555.pdf","27-CR-17-1555")</f>
        <v>27-CR-17-1555</v>
      </c>
      <c r="D278" s="3" t="s">
        <v>172</v>
      </c>
      <c r="E278" s="8" t="str">
        <f aca="false">HYPERLINK("https://mncourtfraud.com/file/MCRO_27-CR-17-1555_Order to Transport_2018-01-04_20240430093559.pdf","MCRO_27-CR-17-1555_Order to Transport_2018-01-04_20240430093559.pdf")</f>
        <v>MCRO_27-CR-17-1555_Order to Transport_2018-01-04_20240430093559.pdf</v>
      </c>
      <c r="F278" s="1" t="s">
        <v>1211</v>
      </c>
      <c r="G278" s="9" t="n">
        <v>43104</v>
      </c>
      <c r="H278" s="1" t="n">
        <v>6</v>
      </c>
    </row>
    <row r="279" customFormat="false" ht="18.7" hidden="false" customHeight="true" outlineLevel="0" collapsed="false">
      <c r="A279" s="1" t="n">
        <v>278</v>
      </c>
      <c r="B279" s="7" t="str">
        <f aca="false">HYPERLINK("https://mncourtfraud.com/file/AMW-18.zip","AMW-18.zip")</f>
        <v>AMW-18.zip</v>
      </c>
      <c r="C279" s="8" t="str">
        <f aca="false">HYPERLINK("https://mncourtfraud.com/file/27-CR-17-8342.pdf","27-CR-17-8342")</f>
        <v>27-CR-17-8342</v>
      </c>
      <c r="D279" s="3" t="s">
        <v>172</v>
      </c>
      <c r="E279" s="8" t="str">
        <f aca="false">HYPERLINK("https://mncourtfraud.com/file/MCRO_27-CR-17-8342_Order to Transport_2018-01-04_20240430093655.pdf","MCRO_27-CR-17-8342_Order to Transport_2018-01-04_20240430093655.pdf")</f>
        <v>MCRO_27-CR-17-8342_Order to Transport_2018-01-04_20240430093655.pdf</v>
      </c>
      <c r="F279" s="1" t="s">
        <v>1212</v>
      </c>
      <c r="G279" s="9" t="n">
        <v>43104</v>
      </c>
      <c r="H279" s="1" t="n">
        <v>6</v>
      </c>
    </row>
    <row r="280" customFormat="false" ht="18.7" hidden="false" customHeight="true" outlineLevel="0" collapsed="false">
      <c r="A280" s="1" t="n">
        <v>279</v>
      </c>
      <c r="B280" s="7" t="str">
        <f aca="false">HYPERLINK("https://mncourtfraud.com/file/AMW-18.zip","AMW-18.zip")</f>
        <v>AMW-18.zip</v>
      </c>
      <c r="C280" s="8" t="str">
        <f aca="false">HYPERLINK("https://mncourtfraud.com/file/27-CR-17-1555.pdf","27-CR-17-1555")</f>
        <v>27-CR-17-1555</v>
      </c>
      <c r="D280" s="3" t="s">
        <v>172</v>
      </c>
      <c r="E280" s="8" t="str">
        <f aca="false">HYPERLINK("https://mncourtfraud.com/file/MCRO_27-CR-17-1555_Order to Transport_2017-08-23_20240430093600.pdf","MCRO_27-CR-17-1555_Order to Transport_2017-08-23_20240430093600.pdf")</f>
        <v>MCRO_27-CR-17-1555_Order to Transport_2017-08-23_20240430093600.pdf</v>
      </c>
      <c r="F280" s="1" t="s">
        <v>1213</v>
      </c>
      <c r="G280" s="9" t="n">
        <v>42970</v>
      </c>
      <c r="H280" s="1" t="n">
        <v>2</v>
      </c>
    </row>
    <row r="281" customFormat="false" ht="18.7" hidden="false" customHeight="true" outlineLevel="0" collapsed="false">
      <c r="A281" s="1" t="n">
        <v>280</v>
      </c>
      <c r="B281" s="7" t="str">
        <f aca="false">HYPERLINK("https://mncourtfraud.com/file/AMW-18.zip","AMW-18.zip")</f>
        <v>AMW-18.zip</v>
      </c>
      <c r="C281" s="8" t="str">
        <f aca="false">HYPERLINK("https://mncourtfraud.com/file/27-CR-17-8342.pdf","27-CR-17-8342")</f>
        <v>27-CR-17-8342</v>
      </c>
      <c r="D281" s="3" t="s">
        <v>172</v>
      </c>
      <c r="E281" s="8" t="str">
        <f aca="false">HYPERLINK("https://mncourtfraud.com/file/MCRO_27-CR-17-8342_Order to Transport_2017-08-23_20240430093656.pdf","MCRO_27-CR-17-8342_Order to Transport_2017-08-23_20240430093656.pdf")</f>
        <v>MCRO_27-CR-17-8342_Order to Transport_2017-08-23_20240430093656.pdf</v>
      </c>
      <c r="F281" s="1" t="s">
        <v>1214</v>
      </c>
      <c r="G281" s="9" t="n">
        <v>42970</v>
      </c>
      <c r="H281" s="1" t="n">
        <v>2</v>
      </c>
    </row>
    <row r="282" customFormat="false" ht="18.7" hidden="false" customHeight="true" outlineLevel="0" collapsed="false">
      <c r="A282" s="1" t="n">
        <v>281</v>
      </c>
      <c r="G282" s="9"/>
    </row>
    <row r="283" customFormat="false" ht="18.7" hidden="false" customHeight="true" outlineLevel="0" collapsed="false">
      <c r="A283" s="1" t="n">
        <v>282</v>
      </c>
      <c r="B283" s="7" t="str">
        <f aca="false">HYPERLINK("https://mncourtfraud.com/file/RAB-13.zip","RAB-13.zip")</f>
        <v>RAB-13.zip</v>
      </c>
      <c r="C283" s="8" t="str">
        <f aca="false">HYPERLINK("https://mncourtfraud.com/file/27-CR-20-6517.pdf","27-CR-20-6517")</f>
        <v>27-CR-20-6517</v>
      </c>
      <c r="D283" s="3" t="s">
        <v>260</v>
      </c>
      <c r="E283" s="8" t="str">
        <f aca="false">HYPERLINK("https://mncourtfraud.com/file/MCRO_27-CR-20-6517_Notice of Case Reassignment_2021-10-11_20240430085214.pdf","MCRO_27-CR-20-6517_Notice of Case Reassignment_2021-10-11_20240430085214.pdf")</f>
        <v>MCRO_27-CR-20-6517_Notice of Case Reassignment_2021-10-11_20240430085214.pdf</v>
      </c>
      <c r="F283" s="1" t="s">
        <v>1215</v>
      </c>
      <c r="G283" s="9" t="n">
        <v>44480</v>
      </c>
      <c r="H283" s="1" t="n">
        <v>15</v>
      </c>
    </row>
    <row r="284" customFormat="false" ht="18.7" hidden="false" customHeight="true" outlineLevel="0" collapsed="false">
      <c r="A284" s="1" t="n">
        <v>283</v>
      </c>
      <c r="B284" s="7" t="str">
        <f aca="false">HYPERLINK("https://mncourtfraud.com/file/RAB-13.zip","RAB-13.zip")</f>
        <v>RAB-13.zip</v>
      </c>
      <c r="C284" s="8" t="str">
        <f aca="false">HYPERLINK("https://mncourtfraud.com/file/27-CR-20-6517.pdf","27-CR-20-6517")</f>
        <v>27-CR-20-6517</v>
      </c>
      <c r="D284" s="3" t="s">
        <v>260</v>
      </c>
      <c r="E284" s="8" t="str">
        <f aca="false">HYPERLINK("https://mncourtfraud.com/file/MCRO_27-CR-20-6517_Returned Mail_2020-03-19_20240430085235.pdf","MCRO_27-CR-20-6517_Returned Mail_2020-03-19_20240430085235.pdf")</f>
        <v>MCRO_27-CR-20-6517_Returned Mail_2020-03-19_20240430085235.pdf</v>
      </c>
      <c r="F284" s="1" t="s">
        <v>1216</v>
      </c>
      <c r="G284" s="9" t="n">
        <v>43909</v>
      </c>
      <c r="H284" s="1" t="n">
        <v>13</v>
      </c>
    </row>
    <row r="285" customFormat="false" ht="18.7" hidden="false" customHeight="true" outlineLevel="0" collapsed="false">
      <c r="A285" s="1" t="n">
        <v>284</v>
      </c>
      <c r="B285" s="7" t="str">
        <f aca="false">HYPERLINK("https://mncourtfraud.com/file/RAB-13.zip","RAB-13.zip")</f>
        <v>RAB-13.zip</v>
      </c>
      <c r="C285" s="8" t="str">
        <f aca="false">HYPERLINK("https://mncourtfraud.com/file/27-CR-20-6517.pdf","27-CR-20-6517")</f>
        <v>27-CR-20-6517</v>
      </c>
      <c r="D285" s="3" t="s">
        <v>260</v>
      </c>
      <c r="E285" s="8" t="str">
        <f aca="false">HYPERLINK("https://mncourtfraud.com/file/MCRO_27-CR-20-6517_Pandemic Notice of Cancelled or Rescheduled Hearing_2020-05-06_20240430085233.pdf","MCRO_27-CR-20-6517_Pandemic Notice of Cancelled or Rescheduled Hearing_2020-05-06_20240430085233.pdf")</f>
        <v>MCRO_27-CR-20-6517_Pandemic Notice of Cancelled or Rescheduled Hearing_2020-05-06_20240430085233.pdf</v>
      </c>
      <c r="F285" s="1" t="s">
        <v>1217</v>
      </c>
      <c r="G285" s="9" t="n">
        <v>43957</v>
      </c>
      <c r="H285" s="1" t="n">
        <v>6</v>
      </c>
    </row>
    <row r="286" customFormat="false" ht="18.7" hidden="false" customHeight="true" outlineLevel="0" collapsed="false">
      <c r="A286" s="1" t="n">
        <v>285</v>
      </c>
      <c r="B286" s="7" t="str">
        <f aca="false">HYPERLINK("https://mncourtfraud.com/file/RAB-13.zip","RAB-13.zip")</f>
        <v>RAB-13.zip</v>
      </c>
      <c r="C286" s="8" t="str">
        <f aca="false">HYPERLINK("https://mncourtfraud.com/file/27-CR-20-6517.pdf","27-CR-20-6517")</f>
        <v>27-CR-20-6517</v>
      </c>
      <c r="D286" s="3" t="s">
        <v>260</v>
      </c>
      <c r="E286" s="8" t="str">
        <f aca="false">HYPERLINK("https://mncourtfraud.com/file/MCRO_27-CR-20-6517_Notice of Remote Hearing with Instructions_2020-12-14_20240430085224.pdf","MCRO_27-CR-20-6517_Notice of Remote Hearing with Instructions_2020-12-14_20240430085224.pdf")</f>
        <v>MCRO_27-CR-20-6517_Notice of Remote Hearing with Instructions_2020-12-14_20240430085224.pdf</v>
      </c>
      <c r="F286" s="1" t="s">
        <v>1218</v>
      </c>
      <c r="G286" s="9" t="n">
        <v>44179</v>
      </c>
      <c r="H286" s="1" t="n">
        <v>3</v>
      </c>
    </row>
    <row r="287" customFormat="false" ht="18.7" hidden="false" customHeight="true" outlineLevel="0" collapsed="false">
      <c r="A287" s="1" t="n">
        <v>286</v>
      </c>
      <c r="B287" s="7" t="str">
        <f aca="false">HYPERLINK("https://mncourtfraud.com/file/RAB-13.zip","RAB-13.zip")</f>
        <v>RAB-13.zip</v>
      </c>
      <c r="C287" s="8" t="str">
        <f aca="false">HYPERLINK("https://mncourtfraud.com/file/27-CR-21-23131.pdf","27-CR-21-23131")</f>
        <v>27-CR-21-23131</v>
      </c>
      <c r="D287" s="3" t="s">
        <v>260</v>
      </c>
      <c r="E287" s="8" t="str">
        <f aca="false">HYPERLINK("https://mncourtfraud.com/file/MCRO_27-CR-21-23131_Returned Mail_2024-02-06_20240430083637.pdf","MCRO_27-CR-21-23131_Returned Mail_2024-02-06_20240430083637.pdf")</f>
        <v>MCRO_27-CR-21-23131_Returned Mail_2024-02-06_20240430083637.pdf</v>
      </c>
      <c r="F287" s="1" t="s">
        <v>1219</v>
      </c>
      <c r="G287" s="9" t="n">
        <v>45328</v>
      </c>
      <c r="H287" s="1" t="n">
        <v>2</v>
      </c>
    </row>
    <row r="288" customFormat="false" ht="18.7" hidden="false" customHeight="true" outlineLevel="0" collapsed="false">
      <c r="A288" s="1" t="n">
        <v>287</v>
      </c>
      <c r="B288" s="7" t="str">
        <f aca="false">HYPERLINK("https://mncourtfraud.com/file/RAB-13.zip","RAB-13.zip")</f>
        <v>RAB-13.zip</v>
      </c>
      <c r="C288" s="8" t="str">
        <f aca="false">HYPERLINK("https://mncourtfraud.com/file/27-CR-20-6517.pdf","27-CR-20-6517")</f>
        <v>27-CR-20-6517</v>
      </c>
      <c r="D288" s="3" t="s">
        <v>260</v>
      </c>
      <c r="E288" s="8" t="str">
        <f aca="false">HYPERLINK("https://mncourtfraud.com/file/MCRO_27-CR-20-6517_Notice of Remote Hearing with Instructions_2022-02-22_20240430085212.pdf","MCRO_27-CR-20-6517_Notice of Remote Hearing with Instructions_2022-02-22_20240430085212.pdf")</f>
        <v>MCRO_27-CR-20-6517_Notice of Remote Hearing with Instructions_2022-02-22_20240430085212.pdf</v>
      </c>
      <c r="F288" s="1" t="s">
        <v>261</v>
      </c>
      <c r="G288" s="9" t="n">
        <v>44614</v>
      </c>
      <c r="H288" s="1" t="n">
        <v>1</v>
      </c>
    </row>
    <row r="289" customFormat="false" ht="18.7" hidden="false" customHeight="true" outlineLevel="0" collapsed="false">
      <c r="A289" s="1" t="n">
        <v>288</v>
      </c>
      <c r="B289" s="7" t="str">
        <f aca="false">HYPERLINK("https://mncourtfraud.com/file/RAB-13.zip","RAB-13.zip")</f>
        <v>RAB-13.zip</v>
      </c>
      <c r="C289" s="8" t="str">
        <f aca="false">HYPERLINK("https://mncourtfraud.com/file/27-CR-21-23131.pdf","27-CR-21-23131")</f>
        <v>27-CR-21-23131</v>
      </c>
      <c r="D289" s="3" t="s">
        <v>260</v>
      </c>
      <c r="E289" s="8" t="str">
        <f aca="false">HYPERLINK("https://mncourtfraud.com/file/MCRO_27-CR-21-23131_Notice of Remote Hearing with Instructions_2022-02-22_20240430083656.pdf","MCRO_27-CR-21-23131_Notice of Remote Hearing with Instructions_2022-02-22_20240430083656.pdf")</f>
        <v>MCRO_27-CR-21-23131_Notice of Remote Hearing with Instructions_2022-02-22_20240430083656.pdf</v>
      </c>
      <c r="F289" s="1" t="s">
        <v>261</v>
      </c>
      <c r="G289" s="9" t="n">
        <v>44614</v>
      </c>
      <c r="H289" s="1" t="n">
        <v>1</v>
      </c>
    </row>
    <row r="290" customFormat="false" ht="18.7" hidden="false" customHeight="true" outlineLevel="0" collapsed="false">
      <c r="A290" s="1" t="n">
        <v>289</v>
      </c>
      <c r="B290" s="7" t="str">
        <f aca="false">HYPERLINK("https://mncourtfraud.com/file/RAB-13.zip","RAB-13.zip")</f>
        <v>RAB-13.zip</v>
      </c>
      <c r="C290" s="8" t="str">
        <f aca="false">HYPERLINK("https://mncourtfraud.com/file/27-CR-21-23131.pdf","27-CR-21-23131")</f>
        <v>27-CR-21-23131</v>
      </c>
      <c r="D290" s="3" t="s">
        <v>260</v>
      </c>
      <c r="E290" s="8" t="str">
        <f aca="false">HYPERLINK("https://mncourtfraud.com/file/MCRO_27-CR-21-23131_Returned Mail_2023-09-25_20240430083642.pdf","MCRO_27-CR-21-23131_Returned Mail_2023-09-25_20240430083642.pdf")</f>
        <v>MCRO_27-CR-21-23131_Returned Mail_2023-09-25_20240430083642.pdf</v>
      </c>
      <c r="F290" s="1" t="s">
        <v>1220</v>
      </c>
      <c r="G290" s="9" t="n">
        <v>45194</v>
      </c>
      <c r="H290" s="1" t="n">
        <v>1</v>
      </c>
    </row>
    <row r="291" customFormat="false" ht="18.7" hidden="false" customHeight="true" outlineLevel="0" collapsed="false">
      <c r="A291" s="1" t="n">
        <v>290</v>
      </c>
      <c r="B291" s="7" t="str">
        <f aca="false">HYPERLINK("https://mncourtfraud.com/file/RAB-13.zip","RAB-13.zip")</f>
        <v>RAB-13.zip</v>
      </c>
      <c r="C291" s="8" t="str">
        <f aca="false">HYPERLINK("https://mncourtfraud.com/file/27-CR-22-24627.pdf","27-CR-22-24627")</f>
        <v>27-CR-22-24627</v>
      </c>
      <c r="D291" s="3" t="s">
        <v>260</v>
      </c>
      <c r="E291" s="8" t="str">
        <f aca="false">HYPERLINK("https://mncourtfraud.com/file/MCRO_27-CR-22-24627_Returned Mail_2023-09-25_20240429164349.pdf","MCRO_27-CR-22-24627_Returned Mail_2023-09-25_20240429164349.pdf")</f>
        <v>MCRO_27-CR-22-24627_Returned Mail_2023-09-25_20240429164349.pdf</v>
      </c>
      <c r="F291" s="1" t="s">
        <v>1221</v>
      </c>
      <c r="G291" s="9" t="n">
        <v>45194</v>
      </c>
      <c r="H291" s="1" t="n">
        <v>1</v>
      </c>
    </row>
    <row r="292" customFormat="false" ht="18.7" hidden="false" customHeight="true" outlineLevel="0" collapsed="false">
      <c r="A292" s="1" t="n">
        <v>291</v>
      </c>
      <c r="G292" s="9"/>
    </row>
    <row r="293" customFormat="false" ht="18.7" hidden="false" customHeight="true" outlineLevel="0" collapsed="false">
      <c r="A293" s="1" t="n">
        <v>292</v>
      </c>
      <c r="B293" s="7" t="str">
        <f aca="false">HYPERLINK("https://mncourtfraud.com/file/DLF-7.zip","DLF-7.zip")</f>
        <v>DLF-7.zip</v>
      </c>
      <c r="C293" s="8" t="str">
        <f aca="false">HYPERLINK("https://mncourtfraud.com/file/27-CR-21-20637.pdf","27-CR-21-20637")</f>
        <v>27-CR-21-20637</v>
      </c>
      <c r="D293" s="3" t="s">
        <v>313</v>
      </c>
      <c r="E293" s="8" t="str">
        <f aca="false">HYPERLINK("https://mncourtfraud.com/file/MCRO_27-CR-21-20637_Order-Evaluation for Competency to Proceed (Rule 20.01)_2021-11-08_20240430083302.pdf","MCRO_27-CR-21-20637_Order-Evaluation for Competency to Proceed (Rule 20.01)_2021-11-08_20240430083302.pdf")</f>
        <v>MCRO_27-CR-21-20637_Order-Evaluation for Competency to Proceed (Rule 20.01)_2021-11-08_20240430083302.pdf</v>
      </c>
      <c r="F293" s="1" t="s">
        <v>1222</v>
      </c>
      <c r="G293" s="9" t="n">
        <v>44508</v>
      </c>
      <c r="H293" s="1" t="n">
        <v>1</v>
      </c>
    </row>
    <row r="294" customFormat="false" ht="18.7" hidden="false" customHeight="true" outlineLevel="0" collapsed="false">
      <c r="A294" s="1" t="n">
        <v>293</v>
      </c>
      <c r="B294" s="7" t="str">
        <f aca="false">HYPERLINK("https://mncourtfraud.com/file/DLF-7.zip","DLF-7.zip")</f>
        <v>DLF-7.zip</v>
      </c>
      <c r="C294" s="8" t="str">
        <f aca="false">HYPERLINK("https://mncourtfraud.com/file/27-CR-21-20637.pdf","27-CR-21-20637")</f>
        <v>27-CR-21-20637</v>
      </c>
      <c r="D294" s="3" t="s">
        <v>313</v>
      </c>
      <c r="E294" s="8" t="str">
        <f aca="false">HYPERLINK("https://mncourtfraud.com/file/MCRO_27-CR-21-20637_Order for Conditional Release_2021-11-23_20240430083259.pdf","MCRO_27-CR-21-20637_Order for Conditional Release_2021-11-23_20240430083259.pdf")</f>
        <v>MCRO_27-CR-21-20637_Order for Conditional Release_2021-11-23_20240430083259.pdf</v>
      </c>
      <c r="F294" s="1" t="s">
        <v>1223</v>
      </c>
      <c r="G294" s="9" t="n">
        <v>44523</v>
      </c>
      <c r="H294" s="1" t="n">
        <v>1</v>
      </c>
    </row>
    <row r="295" customFormat="false" ht="18.7" hidden="false" customHeight="true" outlineLevel="0" collapsed="false">
      <c r="A295" s="1" t="n">
        <v>294</v>
      </c>
      <c r="G295" s="9"/>
    </row>
    <row r="296" customFormat="false" ht="18.7" hidden="false" customHeight="true" outlineLevel="0" collapsed="false">
      <c r="A296" s="1" t="n">
        <v>295</v>
      </c>
      <c r="B296" s="7" t="str">
        <f aca="false">HYPERLINK("https://mncourtfraud.com/file/EGK-20.zip","EGK-20.zip")</f>
        <v>EGK-20.zip</v>
      </c>
      <c r="C296" s="8" t="str">
        <f aca="false">HYPERLINK("https://mncourtfraud.com/file/27-CR-20-13495.pdf","27-CR-20-13495")</f>
        <v>27-CR-20-13495</v>
      </c>
      <c r="D296" s="3" t="s">
        <v>879</v>
      </c>
      <c r="E296" s="8" t="str">
        <f aca="false">HYPERLINK("https://mncourtfraud.com/file/MCRO_27-CR-20-13495_Notice of Filing of Order_2021-10-28_20240430085949.pdf","MCRO_27-CR-20-13495_Notice of Filing of Order_2021-10-28_20240430085949.pdf")</f>
        <v>MCRO_27-CR-20-13495_Notice of Filing of Order_2021-10-28_20240430085949.pdf</v>
      </c>
      <c r="F296" s="1" t="s">
        <v>1224</v>
      </c>
      <c r="G296" s="9" t="n">
        <v>44497</v>
      </c>
      <c r="H296" s="1" t="n">
        <v>41</v>
      </c>
    </row>
    <row r="297" customFormat="false" ht="18.7" hidden="false" customHeight="true" outlineLevel="0" collapsed="false">
      <c r="A297" s="1" t="n">
        <v>296</v>
      </c>
      <c r="B297" s="7" t="str">
        <f aca="false">HYPERLINK("https://mncourtfraud.com/file/EGK-20.zip","EGK-20.zip")</f>
        <v>EGK-20.zip</v>
      </c>
      <c r="C297" s="8" t="str">
        <f aca="false">HYPERLINK("https://mncourtfraud.com/file/27-CR-19-901.pdf","27-CR-19-901")</f>
        <v>27-CR-19-901</v>
      </c>
      <c r="D297" s="3" t="s">
        <v>879</v>
      </c>
      <c r="E297" s="8" t="str">
        <f aca="false">HYPERLINK("https://mncourtfraud.com/file/MCRO_27-CR-19-901_Notice of Remote Hearing with Instructions_2021-06-21_20240430091122.pdf","MCRO_27-CR-19-901_Notice of Remote Hearing with Instructions_2021-06-21_20240430091122.pdf")</f>
        <v>MCRO_27-CR-19-901_Notice of Remote Hearing with Instructions_2021-06-21_20240430091122.pdf</v>
      </c>
      <c r="F297" s="1" t="s">
        <v>1225</v>
      </c>
      <c r="G297" s="9" t="n">
        <v>44368</v>
      </c>
      <c r="H297" s="1" t="n">
        <v>24</v>
      </c>
    </row>
    <row r="298" customFormat="false" ht="18.7" hidden="false" customHeight="true" outlineLevel="0" collapsed="false">
      <c r="A298" s="1" t="n">
        <v>297</v>
      </c>
      <c r="B298" s="7" t="str">
        <f aca="false">HYPERLINK("https://mncourtfraud.com/file/EGK-20.zip","EGK-20.zip")</f>
        <v>EGK-20.zip</v>
      </c>
      <c r="C298" s="8" t="str">
        <f aca="false">HYPERLINK("https://mncourtfraud.com/file/27-CR-20-13495.pdf","27-CR-20-13495")</f>
        <v>27-CR-20-13495</v>
      </c>
      <c r="D298" s="3" t="s">
        <v>879</v>
      </c>
      <c r="E298" s="8" t="str">
        <f aca="false">HYPERLINK("https://mncourtfraud.com/file/MCRO_27-CR-20-13495_Notice of Remote Hearing with Instructions_2021-06-21_20240430090002.pdf","MCRO_27-CR-20-13495_Notice of Remote Hearing with Instructions_2021-06-21_20240430090002.pdf")</f>
        <v>MCRO_27-CR-20-13495_Notice of Remote Hearing with Instructions_2021-06-21_20240430090002.pdf</v>
      </c>
      <c r="F298" s="1" t="s">
        <v>1226</v>
      </c>
      <c r="G298" s="9" t="n">
        <v>44368</v>
      </c>
      <c r="H298" s="1" t="n">
        <v>24</v>
      </c>
    </row>
    <row r="299" customFormat="false" ht="18.7" hidden="false" customHeight="true" outlineLevel="0" collapsed="false">
      <c r="A299" s="1" t="n">
        <v>298</v>
      </c>
      <c r="B299" s="7" t="str">
        <f aca="false">HYPERLINK("https://mncourtfraud.com/file/EGK-20.zip","EGK-20.zip")</f>
        <v>EGK-20.zip</v>
      </c>
      <c r="C299" s="8" t="str">
        <f aca="false">HYPERLINK("https://mncourtfraud.com/file/27-CR-19-901.pdf","27-CR-19-901")</f>
        <v>27-CR-19-901</v>
      </c>
      <c r="D299" s="3" t="s">
        <v>879</v>
      </c>
      <c r="E299" s="8" t="str">
        <f aca="false">HYPERLINK("https://mncourtfraud.com/file/MCRO_27-CR-19-901_Sentencing Order_2019-05-17_20240430091127.pdf","MCRO_27-CR-19-901_Sentencing Order_2019-05-17_20240430091127.pdf")</f>
        <v>MCRO_27-CR-19-901_Sentencing Order_2019-05-17_20240430091127.pdf</v>
      </c>
      <c r="F299" s="1" t="s">
        <v>1227</v>
      </c>
      <c r="G299" s="9" t="n">
        <v>43602</v>
      </c>
      <c r="H299" s="1" t="n">
        <v>17</v>
      </c>
    </row>
    <row r="300" customFormat="false" ht="18.7" hidden="false" customHeight="true" outlineLevel="0" collapsed="false">
      <c r="A300" s="1" t="n">
        <v>299</v>
      </c>
      <c r="B300" s="7" t="str">
        <f aca="false">HYPERLINK("https://mncourtfraud.com/file/EGK-20.zip","EGK-20.zip")</f>
        <v>EGK-20.zip</v>
      </c>
      <c r="C300" s="8" t="str">
        <f aca="false">HYPERLINK("https://mncourtfraud.com/file/27-CR-19-901.pdf","27-CR-19-901")</f>
        <v>27-CR-19-901</v>
      </c>
      <c r="D300" s="3" t="s">
        <v>879</v>
      </c>
      <c r="E300" s="8" t="str">
        <f aca="false">HYPERLINK("https://mncourtfraud.com/file/MCRO_27-CR-19-901_Notice of Remote Hearing with Instructions_2022-04-26_20240430091112.pdf","MCRO_27-CR-19-901_Notice of Remote Hearing with Instructions_2022-04-26_20240430091112.pdf")</f>
        <v>MCRO_27-CR-19-901_Notice of Remote Hearing with Instructions_2022-04-26_20240430091112.pdf</v>
      </c>
      <c r="F300" s="1" t="s">
        <v>914</v>
      </c>
      <c r="G300" s="9" t="n">
        <v>44677</v>
      </c>
      <c r="H300" s="1" t="n">
        <v>6</v>
      </c>
    </row>
    <row r="301" customFormat="false" ht="18.7" hidden="false" customHeight="true" outlineLevel="0" collapsed="false">
      <c r="A301" s="1" t="n">
        <v>300</v>
      </c>
      <c r="B301" s="7" t="str">
        <f aca="false">HYPERLINK("https://mncourtfraud.com/file/EGK-20.zip","EGK-20.zip")</f>
        <v>EGK-20.zip</v>
      </c>
      <c r="C301" s="8" t="str">
        <f aca="false">HYPERLINK("https://mncourtfraud.com/file/27-CR-20-13495.pdf","27-CR-20-13495")</f>
        <v>27-CR-20-13495</v>
      </c>
      <c r="D301" s="3" t="s">
        <v>879</v>
      </c>
      <c r="E301" s="8" t="str">
        <f aca="false">HYPERLINK("https://mncourtfraud.com/file/MCRO_27-CR-20-13495_Notice of Remote Hearing with Instructions_2022-04-26_20240430085931.pdf","MCRO_27-CR-20-13495_Notice of Remote Hearing with Instructions_2022-04-26_20240430085931.pdf")</f>
        <v>MCRO_27-CR-20-13495_Notice of Remote Hearing with Instructions_2022-04-26_20240430085931.pdf</v>
      </c>
      <c r="F301" s="1" t="s">
        <v>914</v>
      </c>
      <c r="G301" s="9" t="n">
        <v>44677</v>
      </c>
      <c r="H301" s="1" t="n">
        <v>6</v>
      </c>
    </row>
    <row r="302" customFormat="false" ht="18.7" hidden="false" customHeight="true" outlineLevel="0" collapsed="false">
      <c r="A302" s="1" t="n">
        <v>301</v>
      </c>
      <c r="B302" s="7" t="str">
        <f aca="false">HYPERLINK("https://mncourtfraud.com/file/EGK-20.zip","EGK-20.zip")</f>
        <v>EGK-20.zip</v>
      </c>
      <c r="C302" s="8" t="str">
        <f aca="false">HYPERLINK("https://mncourtfraud.com/file/27-CR-20-13495.pdf","27-CR-20-13495")</f>
        <v>27-CR-20-13495</v>
      </c>
      <c r="D302" s="3" t="s">
        <v>879</v>
      </c>
      <c r="E302" s="8" t="str">
        <f aca="false">HYPERLINK("https://mncourtfraud.com/file/MCRO_27-CR-20-13495_Order Forfeiting Cash Bond or Surety Bond_2021-09-09_20240430090001.pdf","MCRO_27-CR-20-13495_Order Forfeiting Cash Bond or Surety Bond_2021-09-09_20240430090001.pdf")</f>
        <v>MCRO_27-CR-20-13495_Order Forfeiting Cash Bond or Surety Bond_2021-09-09_20240430090001.pdf</v>
      </c>
      <c r="F302" s="1" t="s">
        <v>1228</v>
      </c>
      <c r="G302" s="9" t="n">
        <v>44448</v>
      </c>
      <c r="H302" s="1" t="n">
        <v>4</v>
      </c>
    </row>
    <row r="303" customFormat="false" ht="18.7" hidden="false" customHeight="true" outlineLevel="0" collapsed="false">
      <c r="A303" s="1" t="n">
        <v>302</v>
      </c>
      <c r="B303" s="7" t="str">
        <f aca="false">HYPERLINK("https://mncourtfraud.com/file/EGK-20.zip","EGK-20.zip")</f>
        <v>EGK-20.zip</v>
      </c>
      <c r="C303" s="8" t="str">
        <f aca="false">HYPERLINK("https://mncourtfraud.com/file/27-CR-19-901.pdf","27-CR-19-901")</f>
        <v>27-CR-19-901</v>
      </c>
      <c r="D303" s="3" t="s">
        <v>879</v>
      </c>
      <c r="E303" s="8" t="str">
        <f aca="false">HYPERLINK("https://mncourtfraud.com/file/MCRO_27-CR-19-901_Norgaard Plea_2019-04-19_20240430091131.pdf","MCRO_27-CR-19-901_Norgaard Plea_2019-04-19_20240430091131.pdf")</f>
        <v>MCRO_27-CR-19-901_Norgaard Plea_2019-04-19_20240430091131.pdf</v>
      </c>
      <c r="F303" s="1" t="s">
        <v>1229</v>
      </c>
      <c r="G303" s="9" t="n">
        <v>43574</v>
      </c>
      <c r="H303" s="1" t="n">
        <v>3</v>
      </c>
    </row>
    <row r="304" customFormat="false" ht="18.7" hidden="false" customHeight="true" outlineLevel="0" collapsed="false">
      <c r="A304" s="1" t="n">
        <v>303</v>
      </c>
      <c r="B304" s="7" t="str">
        <f aca="false">HYPERLINK("https://mncourtfraud.com/file/EGK-20.zip","EGK-20.zip")</f>
        <v>EGK-20.zip</v>
      </c>
      <c r="C304" s="8" t="str">
        <f aca="false">HYPERLINK("https://mncourtfraud.com/file/27-CR-19-901.pdf","27-CR-19-901")</f>
        <v>27-CR-19-901</v>
      </c>
      <c r="D304" s="3" t="s">
        <v>879</v>
      </c>
      <c r="E304" s="8" t="str">
        <f aca="false">HYPERLINK("https://mncourtfraud.com/file/MCRO_27-CR-19-901_Notice of Hearing_2019-04-19_20240430091132.pdf","MCRO_27-CR-19-901_Notice of Hearing_2019-04-19_20240430091132.pdf")</f>
        <v>MCRO_27-CR-19-901_Notice of Hearing_2019-04-19_20240430091132.pdf</v>
      </c>
      <c r="F304" s="1" t="s">
        <v>1230</v>
      </c>
      <c r="G304" s="9" t="n">
        <v>43574</v>
      </c>
      <c r="H304" s="1" t="n">
        <v>3</v>
      </c>
    </row>
    <row r="305" customFormat="false" ht="18.7" hidden="false" customHeight="true" outlineLevel="0" collapsed="false">
      <c r="A305" s="1" t="n">
        <v>304</v>
      </c>
      <c r="B305" s="7" t="str">
        <f aca="false">HYPERLINK("https://mncourtfraud.com/file/EGK-20.zip","EGK-20.zip")</f>
        <v>EGK-20.zip</v>
      </c>
      <c r="C305" s="8" t="str">
        <f aca="false">HYPERLINK("https://mncourtfraud.com/file/27-CR-19-901.pdf","27-CR-19-901")</f>
        <v>27-CR-19-901</v>
      </c>
      <c r="D305" s="3" t="s">
        <v>879</v>
      </c>
      <c r="E305" s="8" t="str">
        <f aca="false">HYPERLINK("https://mncourtfraud.com/file/MCRO_27-CR-19-901_Petition to Enter Guilty Plea_2019-04-19_20240430091132.pdf","MCRO_27-CR-19-901_Petition to Enter Guilty Plea_2019-04-19_20240430091132.pdf")</f>
        <v>MCRO_27-CR-19-901_Petition to Enter Guilty Plea_2019-04-19_20240430091132.pdf</v>
      </c>
      <c r="F305" s="1" t="s">
        <v>1231</v>
      </c>
      <c r="G305" s="9" t="n">
        <v>43574</v>
      </c>
      <c r="H305" s="1" t="n">
        <v>3</v>
      </c>
    </row>
    <row r="306" customFormat="false" ht="18.7" hidden="false" customHeight="true" outlineLevel="0" collapsed="false">
      <c r="A306" s="1" t="n">
        <v>305</v>
      </c>
      <c r="B306" s="7" t="str">
        <f aca="false">HYPERLINK("https://mncourtfraud.com/file/EGK-20.zip","EGK-20.zip")</f>
        <v>EGK-20.zip</v>
      </c>
      <c r="C306" s="8" t="str">
        <f aca="false">HYPERLINK("https://mncourtfraud.com/file/27-CR-19-901.pdf","27-CR-19-901")</f>
        <v>27-CR-19-901</v>
      </c>
      <c r="D306" s="3" t="s">
        <v>879</v>
      </c>
      <c r="E306" s="8" t="str">
        <f aca="false">HYPERLINK("https://mncourtfraud.com/file/MCRO_27-CR-19-901_Notice of Appearance_2019-04-16_20240430091134.pdf","MCRO_27-CR-19-901_Notice of Appearance_2019-04-16_20240430091134.pdf")</f>
        <v>MCRO_27-CR-19-901_Notice of Appearance_2019-04-16_20240430091134.pdf</v>
      </c>
      <c r="F306" s="1" t="s">
        <v>1232</v>
      </c>
      <c r="G306" s="9" t="n">
        <v>43571</v>
      </c>
      <c r="H306" s="1" t="n">
        <v>2</v>
      </c>
    </row>
    <row r="307" customFormat="false" ht="18.7" hidden="false" customHeight="true" outlineLevel="0" collapsed="false">
      <c r="A307" s="1" t="n">
        <v>306</v>
      </c>
      <c r="B307" s="7" t="str">
        <f aca="false">HYPERLINK("https://mncourtfraud.com/file/EGK-20.zip","EGK-20.zip")</f>
        <v>EGK-20.zip</v>
      </c>
      <c r="C307" s="8" t="str">
        <f aca="false">HYPERLINK("https://mncourtfraud.com/file/27-CR-19-901.pdf","27-CR-19-901")</f>
        <v>27-CR-19-901</v>
      </c>
      <c r="D307" s="3" t="s">
        <v>879</v>
      </c>
      <c r="E307" s="8" t="str">
        <f aca="false">HYPERLINK("https://mncourtfraud.com/file/MCRO_27-CR-19-901_Notice of Remote Hearing with Instructions_2021-10-25_20240430091120.pdf","MCRO_27-CR-19-901_Notice of Remote Hearing with Instructions_2021-10-25_20240430091120.pdf")</f>
        <v>MCRO_27-CR-19-901_Notice of Remote Hearing with Instructions_2021-10-25_20240430091120.pdf</v>
      </c>
      <c r="F307" s="1" t="s">
        <v>1233</v>
      </c>
      <c r="G307" s="9" t="n">
        <v>44494</v>
      </c>
      <c r="H307" s="1" t="n">
        <v>2</v>
      </c>
    </row>
    <row r="308" customFormat="false" ht="18.7" hidden="false" customHeight="true" outlineLevel="0" collapsed="false">
      <c r="A308" s="1" t="n">
        <v>307</v>
      </c>
      <c r="B308" s="7" t="str">
        <f aca="false">HYPERLINK("https://mncourtfraud.com/file/EGK-20.zip","EGK-20.zip")</f>
        <v>EGK-20.zip</v>
      </c>
      <c r="C308" s="8" t="str">
        <f aca="false">HYPERLINK("https://mncourtfraud.com/file/27-CR-20-13495.pdf","27-CR-20-13495")</f>
        <v>27-CR-20-13495</v>
      </c>
      <c r="D308" s="3" t="s">
        <v>879</v>
      </c>
      <c r="E308" s="8" t="str">
        <f aca="false">HYPERLINK("https://mncourtfraud.com/file/MCRO_27-CR-20-13495_Notice of Remote Hearing with Instructions_2021-10-25_20240430085958.pdf","MCRO_27-CR-20-13495_Notice of Remote Hearing with Instructions_2021-10-25_20240430085958.pdf")</f>
        <v>MCRO_27-CR-20-13495_Notice of Remote Hearing with Instructions_2021-10-25_20240430085958.pdf</v>
      </c>
      <c r="F308" s="1" t="s">
        <v>1234</v>
      </c>
      <c r="G308" s="9" t="n">
        <v>44494</v>
      </c>
      <c r="H308" s="1" t="n">
        <v>2</v>
      </c>
    </row>
    <row r="309" customFormat="false" ht="18.7" hidden="false" customHeight="true" outlineLevel="0" collapsed="false">
      <c r="A309" s="1" t="n">
        <v>308</v>
      </c>
      <c r="B309" s="7" t="str">
        <f aca="false">HYPERLINK("https://mncourtfraud.com/file/EGK-20.zip","EGK-20.zip")</f>
        <v>EGK-20.zip</v>
      </c>
      <c r="C309" s="8" t="str">
        <f aca="false">HYPERLINK("https://mncourtfraud.com/file/27-CR-19-901.pdf","27-CR-19-901")</f>
        <v>27-CR-19-901</v>
      </c>
      <c r="D309" s="3" t="s">
        <v>879</v>
      </c>
      <c r="E309" s="8" t="str">
        <f aca="false">HYPERLINK("https://mncourtfraud.com/file/MCRO_27-CR-19-901_Notice of Remote Hearing with Instructions_2022-05-02_20240430091110.pdf","MCRO_27-CR-19-901_Notice of Remote Hearing with Instructions_2022-05-02_20240430091110.pdf")</f>
        <v>MCRO_27-CR-19-901_Notice of Remote Hearing with Instructions_2022-05-02_20240430091110.pdf</v>
      </c>
      <c r="F309" s="1" t="s">
        <v>1235</v>
      </c>
      <c r="G309" s="9" t="n">
        <v>44683</v>
      </c>
      <c r="H309" s="1" t="n">
        <v>2</v>
      </c>
    </row>
    <row r="310" customFormat="false" ht="18.7" hidden="false" customHeight="true" outlineLevel="0" collapsed="false">
      <c r="A310" s="1" t="n">
        <v>309</v>
      </c>
      <c r="B310" s="7" t="str">
        <f aca="false">HYPERLINK("https://mncourtfraud.com/file/EGK-20.zip","EGK-20.zip")</f>
        <v>EGK-20.zip</v>
      </c>
      <c r="C310" s="8" t="str">
        <f aca="false">HYPERLINK("https://mncourtfraud.com/file/27-CR-20-13495.pdf","27-CR-20-13495")</f>
        <v>27-CR-20-13495</v>
      </c>
      <c r="D310" s="3" t="s">
        <v>879</v>
      </c>
      <c r="E310" s="8" t="str">
        <f aca="false">HYPERLINK("https://mncourtfraud.com/file/MCRO_27-CR-20-13495_Notice of Remote Hearing with Instructions_2022-05-02_20240430085929.pdf","MCRO_27-CR-20-13495_Notice of Remote Hearing with Instructions_2022-05-02_20240430085929.pdf")</f>
        <v>MCRO_27-CR-20-13495_Notice of Remote Hearing with Instructions_2022-05-02_20240430085929.pdf</v>
      </c>
      <c r="F310" s="1" t="s">
        <v>1236</v>
      </c>
      <c r="G310" s="9" t="n">
        <v>44683</v>
      </c>
      <c r="H310" s="1" t="n">
        <v>2</v>
      </c>
    </row>
    <row r="311" customFormat="false" ht="18.7" hidden="false" customHeight="true" outlineLevel="0" collapsed="false">
      <c r="A311" s="1" t="n">
        <v>310</v>
      </c>
      <c r="B311" s="7" t="str">
        <f aca="false">HYPERLINK("https://mncourtfraud.com/file/EGK-20.zip","EGK-20.zip")</f>
        <v>EGK-20.zip</v>
      </c>
      <c r="C311" s="8" t="str">
        <f aca="false">HYPERLINK("https://mncourtfraud.com/file/27-CR-19-901.pdf","27-CR-19-901")</f>
        <v>27-CR-19-901</v>
      </c>
      <c r="D311" s="3" t="s">
        <v>879</v>
      </c>
      <c r="E311" s="8" t="str">
        <f aca="false">HYPERLINK("https://mncourtfraud.com/file/MCRO_27-CR-19-901_Non-Cash Bond Posted_2019-01-10_20240430091140.pdf","MCRO_27-CR-19-901_Non-Cash Bond Posted_2019-01-10_20240430091140.pdf")</f>
        <v>MCRO_27-CR-19-901_Non-Cash Bond Posted_2019-01-10_20240430091140.pdf</v>
      </c>
      <c r="F311" s="1" t="s">
        <v>1237</v>
      </c>
      <c r="G311" s="9" t="n">
        <v>43475</v>
      </c>
      <c r="H311" s="1" t="n">
        <v>1</v>
      </c>
    </row>
    <row r="312" customFormat="false" ht="18.7" hidden="false" customHeight="true" outlineLevel="0" collapsed="false">
      <c r="A312" s="1" t="n">
        <v>311</v>
      </c>
      <c r="B312" s="7" t="str">
        <f aca="false">HYPERLINK("https://mncourtfraud.com/file/EGK-20.zip","EGK-20.zip")</f>
        <v>EGK-20.zip</v>
      </c>
      <c r="C312" s="8" t="str">
        <f aca="false">HYPERLINK("https://mncourtfraud.com/file/27-CR-19-901.pdf","27-CR-19-901")</f>
        <v>27-CR-19-901</v>
      </c>
      <c r="D312" s="3" t="s">
        <v>879</v>
      </c>
      <c r="E312" s="8" t="str">
        <f aca="false">HYPERLINK("https://mncourtfraud.com/file/MCRO_27-CR-19-901_Notice of Hearing_2019-03-04_20240430091135 (1).pdf","MCRO_27-CR-19-901_Notice of Hearing_2019-03-04_20240430091135 (1).pdf")</f>
        <v>MCRO_27-CR-19-901_Notice of Hearing_2019-03-04_20240430091135 (1).pdf</v>
      </c>
      <c r="F312" s="1" t="s">
        <v>1238</v>
      </c>
      <c r="G312" s="9" t="n">
        <v>43528</v>
      </c>
      <c r="H312" s="1" t="n">
        <v>1</v>
      </c>
    </row>
    <row r="313" customFormat="false" ht="18.7" hidden="false" customHeight="true" outlineLevel="0" collapsed="false">
      <c r="A313" s="1" t="n">
        <v>312</v>
      </c>
      <c r="B313" s="7" t="str">
        <f aca="false">HYPERLINK("https://mncourtfraud.com/file/EGK-20.zip","EGK-20.zip")</f>
        <v>EGK-20.zip</v>
      </c>
      <c r="C313" s="8" t="str">
        <f aca="false">HYPERLINK("https://mncourtfraud.com/file/27-CR-19-901.pdf","27-CR-19-901")</f>
        <v>27-CR-19-901</v>
      </c>
      <c r="D313" s="3" t="s">
        <v>879</v>
      </c>
      <c r="E313" s="8" t="str">
        <f aca="false">HYPERLINK("https://mncourtfraud.com/file/MCRO_27-CR-19-901_Notice of Hearing_2019-03-04_20240430091135.pdf","MCRO_27-CR-19-901_Notice of Hearing_2019-03-04_20240430091135.pdf")</f>
        <v>MCRO_27-CR-19-901_Notice of Hearing_2019-03-04_20240430091135.pdf</v>
      </c>
      <c r="F313" s="1" t="s">
        <v>1239</v>
      </c>
      <c r="G313" s="9" t="n">
        <v>43528</v>
      </c>
      <c r="H313" s="1" t="n">
        <v>1</v>
      </c>
    </row>
    <row r="314" customFormat="false" ht="18.7" hidden="false" customHeight="true" outlineLevel="0" collapsed="false">
      <c r="A314" s="1" t="n">
        <v>313</v>
      </c>
      <c r="B314" s="7" t="str">
        <f aca="false">HYPERLINK("https://mncourtfraud.com/file/EGK-20.zip","EGK-20.zip")</f>
        <v>EGK-20.zip</v>
      </c>
      <c r="C314" s="8" t="str">
        <f aca="false">HYPERLINK("https://mncourtfraud.com/file/27-CR-19-901.pdf","27-CR-19-901")</f>
        <v>27-CR-19-901</v>
      </c>
      <c r="D314" s="3" t="s">
        <v>879</v>
      </c>
      <c r="E314" s="8" t="str">
        <f aca="false">HYPERLINK("https://mncourtfraud.com/file/MCRO_27-CR-19-901_Order-Evaluation for Competency to Proceed (Rule 20.01)_2019-03-04_20240430091136.pdf","MCRO_27-CR-19-901_Order-Evaluation for Competency to Proceed (Rule 20.01)_2019-03-04_20240430091136.pdf")</f>
        <v>MCRO_27-CR-19-901_Order-Evaluation for Competency to Proceed (Rule 20.01)_2019-03-04_20240430091136.pdf</v>
      </c>
      <c r="F314" s="1" t="s">
        <v>1240</v>
      </c>
      <c r="G314" s="9" t="n">
        <v>43528</v>
      </c>
      <c r="H314" s="1" t="n">
        <v>1</v>
      </c>
    </row>
    <row r="315" customFormat="false" ht="18.7" hidden="false" customHeight="true" outlineLevel="0" collapsed="false">
      <c r="A315" s="1" t="n">
        <v>314</v>
      </c>
      <c r="B315" s="7" t="str">
        <f aca="false">HYPERLINK("https://mncourtfraud.com/file/EGK-20.zip","EGK-20.zip")</f>
        <v>EGK-20.zip</v>
      </c>
      <c r="C315" s="8" t="str">
        <f aca="false">HYPERLINK("https://mncourtfraud.com/file/27-CR-20-13495.pdf","27-CR-20-13495")</f>
        <v>27-CR-20-13495</v>
      </c>
      <c r="D315" s="3" t="s">
        <v>879</v>
      </c>
      <c r="E315" s="8" t="str">
        <f aca="false">HYPERLINK("https://mncourtfraud.com/file/MCRO_27-CR-20-13495_Law Enforcement Notice of Release and Appearance_2021-02-22_20240430090006.pdf","MCRO_27-CR-20-13495_Law Enforcement Notice of Release and Appearance_2021-02-22_20240430090006.pdf")</f>
        <v>MCRO_27-CR-20-13495_Law Enforcement Notice of Release and Appearance_2021-02-22_20240430090006.pdf</v>
      </c>
      <c r="F315" s="1" t="s">
        <v>1241</v>
      </c>
      <c r="G315" s="9" t="n">
        <v>44249</v>
      </c>
      <c r="H315" s="1" t="n">
        <v>1</v>
      </c>
    </row>
    <row r="316" customFormat="false" ht="18.7" hidden="false" customHeight="true" outlineLevel="0" collapsed="false">
      <c r="A316" s="1" t="n">
        <v>315</v>
      </c>
      <c r="B316" s="7" t="str">
        <f aca="false">HYPERLINK("https://mncourtfraud.com/file/EGK-20.zip","EGK-20.zip")</f>
        <v>EGK-20.zip</v>
      </c>
      <c r="C316" s="8" t="str">
        <f aca="false">HYPERLINK("https://mncourtfraud.com/file/27-CR-20-13495.pdf","27-CR-20-13495")</f>
        <v>27-CR-20-13495</v>
      </c>
      <c r="D316" s="3" t="s">
        <v>879</v>
      </c>
      <c r="E316" s="8" t="str">
        <f aca="false">HYPERLINK("https://mncourtfraud.com/file/MCRO_27-CR-20-13495_Non-Cash Bond Posted_2021-02-22_20240430090007.pdf","MCRO_27-CR-20-13495_Non-Cash Bond Posted_2021-02-22_20240430090007.pdf")</f>
        <v>MCRO_27-CR-20-13495_Non-Cash Bond Posted_2021-02-22_20240430090007.pdf</v>
      </c>
      <c r="F316" s="1" t="s">
        <v>1242</v>
      </c>
      <c r="G316" s="9" t="n">
        <v>44249</v>
      </c>
      <c r="H316" s="1" t="n">
        <v>1</v>
      </c>
    </row>
    <row r="317" customFormat="false" ht="18.7" hidden="false" customHeight="true" outlineLevel="0" collapsed="false">
      <c r="A317" s="1" t="n">
        <v>316</v>
      </c>
      <c r="B317" s="7" t="str">
        <f aca="false">HYPERLINK("https://mncourtfraud.com/file/EGK-20.zip","EGK-20.zip")</f>
        <v>EGK-20.zip</v>
      </c>
      <c r="C317" s="8" t="str">
        <f aca="false">HYPERLINK("https://mncourtfraud.com/file/27-CR-19-901.pdf","27-CR-19-901")</f>
        <v>27-CR-19-901</v>
      </c>
      <c r="D317" s="3" t="s">
        <v>879</v>
      </c>
      <c r="E317" s="8" t="str">
        <f aca="false">HYPERLINK("https://mncourtfraud.com/file/MCRO_27-CR-19-901_Notice of Remote Hearing with Instructions_2021-03-08_20240430091124.pdf","MCRO_27-CR-19-901_Notice of Remote Hearing with Instructions_2021-03-08_20240430091124.pdf")</f>
        <v>MCRO_27-CR-19-901_Notice of Remote Hearing with Instructions_2021-03-08_20240430091124.pdf</v>
      </c>
      <c r="F317" s="1" t="s">
        <v>880</v>
      </c>
      <c r="G317" s="9" t="n">
        <v>44263</v>
      </c>
      <c r="H317" s="1" t="n">
        <v>1</v>
      </c>
    </row>
    <row r="318" customFormat="false" ht="18.7" hidden="false" customHeight="true" outlineLevel="0" collapsed="false">
      <c r="A318" s="1" t="n">
        <v>317</v>
      </c>
      <c r="B318" s="7" t="str">
        <f aca="false">HYPERLINK("https://mncourtfraud.com/file/EGK-20.zip","EGK-20.zip")</f>
        <v>EGK-20.zip</v>
      </c>
      <c r="C318" s="8" t="str">
        <f aca="false">HYPERLINK("https://mncourtfraud.com/file/27-CR-20-13495.pdf","27-CR-20-13495")</f>
        <v>27-CR-20-13495</v>
      </c>
      <c r="D318" s="3" t="s">
        <v>879</v>
      </c>
      <c r="E318" s="8" t="str">
        <f aca="false">HYPERLINK("https://mncourtfraud.com/file/MCRO_27-CR-20-13495_Notice of Remote Hearing with Instructions_2021-03-08_20240430090004.pdf","MCRO_27-CR-20-13495_Notice of Remote Hearing with Instructions_2021-03-08_20240430090004.pdf")</f>
        <v>MCRO_27-CR-20-13495_Notice of Remote Hearing with Instructions_2021-03-08_20240430090004.pdf</v>
      </c>
      <c r="F318" s="1" t="s">
        <v>880</v>
      </c>
      <c r="G318" s="9" t="n">
        <v>44263</v>
      </c>
      <c r="H318" s="1" t="n">
        <v>1</v>
      </c>
    </row>
    <row r="319" customFormat="false" ht="18.7" hidden="false" customHeight="true" outlineLevel="0" collapsed="false">
      <c r="A319" s="1" t="n">
        <v>318</v>
      </c>
      <c r="B319" s="7" t="str">
        <f aca="false">HYPERLINK("https://mncourtfraud.com/file/EGK-20.zip","EGK-20.zip")</f>
        <v>EGK-20.zip</v>
      </c>
      <c r="C319" s="8" t="str">
        <f aca="false">HYPERLINK("https://mncourtfraud.com/file/27-CR-19-901.pdf","27-CR-19-901")</f>
        <v>27-CR-19-901</v>
      </c>
      <c r="D319" s="3" t="s">
        <v>879</v>
      </c>
      <c r="E319" s="8" t="str">
        <f aca="false">HYPERLINK("https://mncourtfraud.com/file/MCRO_27-CR-19-901_Notice of Remote Hearing with Instructions_2022-04-04_20240430091115.pdf","MCRO_27-CR-19-901_Notice of Remote Hearing with Instructions_2022-04-04_20240430091115.pdf")</f>
        <v>MCRO_27-CR-19-901_Notice of Remote Hearing with Instructions_2022-04-04_20240430091115.pdf</v>
      </c>
      <c r="F319" s="1" t="s">
        <v>900</v>
      </c>
      <c r="G319" s="9" t="n">
        <v>44655</v>
      </c>
      <c r="H319" s="1" t="n">
        <v>1</v>
      </c>
    </row>
    <row r="320" customFormat="false" ht="18.7" hidden="false" customHeight="true" outlineLevel="0" collapsed="false">
      <c r="A320" s="1" t="n">
        <v>319</v>
      </c>
      <c r="B320" s="7" t="str">
        <f aca="false">HYPERLINK("https://mncourtfraud.com/file/EGK-20.zip","EGK-20.zip")</f>
        <v>EGK-20.zip</v>
      </c>
      <c r="C320" s="8" t="str">
        <f aca="false">HYPERLINK("https://mncourtfraud.com/file/27-CR-20-13495.pdf","27-CR-20-13495")</f>
        <v>27-CR-20-13495</v>
      </c>
      <c r="D320" s="3" t="s">
        <v>879</v>
      </c>
      <c r="E320" s="8" t="str">
        <f aca="false">HYPERLINK("https://mncourtfraud.com/file/MCRO_27-CR-20-13495_Notice of Remote Hearing with Instructions_2022-04-04_20240430085939.pdf","MCRO_27-CR-20-13495_Notice of Remote Hearing with Instructions_2022-04-04_20240430085939.pdf")</f>
        <v>MCRO_27-CR-20-13495_Notice of Remote Hearing with Instructions_2022-04-04_20240430085939.pdf</v>
      </c>
      <c r="F320" s="1" t="s">
        <v>900</v>
      </c>
      <c r="G320" s="9" t="n">
        <v>44655</v>
      </c>
      <c r="H320" s="1" t="n">
        <v>1</v>
      </c>
    </row>
    <row r="321" customFormat="false" ht="18.7" hidden="false" customHeight="true" outlineLevel="0" collapsed="false">
      <c r="A321" s="1" t="n">
        <v>320</v>
      </c>
      <c r="B321" s="7" t="str">
        <f aca="false">HYPERLINK("https://mncourtfraud.com/file/EGK-20.zip","EGK-20.zip")</f>
        <v>EGK-20.zip</v>
      </c>
      <c r="C321" s="8" t="str">
        <f aca="false">HYPERLINK("https://mncourtfraud.com/file/27-CR-19-901.pdf","27-CR-19-901")</f>
        <v>27-CR-19-901</v>
      </c>
      <c r="D321" s="3" t="s">
        <v>879</v>
      </c>
      <c r="E321" s="8" t="str">
        <f aca="false">HYPERLINK("https://mncourtfraud.com/file/MCRO_27-CR-19-901_Notice of Remote Hearing with Instructions_2022-04-26_20240430091111.pdf","MCRO_27-CR-19-901_Notice of Remote Hearing with Instructions_2022-04-26_20240430091111.pdf")</f>
        <v>MCRO_27-CR-19-901_Notice of Remote Hearing with Instructions_2022-04-26_20240430091111.pdf</v>
      </c>
      <c r="F321" s="1" t="s">
        <v>911</v>
      </c>
      <c r="G321" s="9" t="n">
        <v>44677</v>
      </c>
      <c r="H321" s="1" t="n">
        <v>1</v>
      </c>
    </row>
    <row r="322" customFormat="false" ht="18.7" hidden="false" customHeight="true" outlineLevel="0" collapsed="false">
      <c r="A322" s="1" t="n">
        <v>321</v>
      </c>
      <c r="B322" s="7" t="str">
        <f aca="false">HYPERLINK("https://mncourtfraud.com/file/EGK-20.zip","EGK-20.zip")</f>
        <v>EGK-20.zip</v>
      </c>
      <c r="C322" s="8" t="str">
        <f aca="false">HYPERLINK("https://mncourtfraud.com/file/27-CR-20-13495.pdf","27-CR-20-13495")</f>
        <v>27-CR-20-13495</v>
      </c>
      <c r="D322" s="3" t="s">
        <v>879</v>
      </c>
      <c r="E322" s="8" t="str">
        <f aca="false">HYPERLINK("https://mncourtfraud.com/file/MCRO_27-CR-20-13495_Notice of Remote Hearing with Instructions_2022-04-26_20240430085930.pdf","MCRO_27-CR-20-13495_Notice of Remote Hearing with Instructions_2022-04-26_20240430085930.pdf")</f>
        <v>MCRO_27-CR-20-13495_Notice of Remote Hearing with Instructions_2022-04-26_20240430085930.pdf</v>
      </c>
      <c r="F322" s="1" t="s">
        <v>911</v>
      </c>
      <c r="G322" s="9" t="n">
        <v>44677</v>
      </c>
      <c r="H322" s="1" t="n">
        <v>1</v>
      </c>
    </row>
    <row r="323" customFormat="false" ht="18.7" hidden="false" customHeight="true" outlineLevel="0" collapsed="false">
      <c r="A323" s="1" t="n">
        <v>322</v>
      </c>
      <c r="B323" s="7" t="str">
        <f aca="false">HYPERLINK("https://mncourtfraud.com/file/EGK-20.zip","EGK-20.zip")</f>
        <v>EGK-20.zip</v>
      </c>
      <c r="C323" s="8" t="str">
        <f aca="false">HYPERLINK("https://mncourtfraud.com/file/27-CR-19-901.pdf","27-CR-19-901")</f>
        <v>27-CR-19-901</v>
      </c>
      <c r="D323" s="3" t="s">
        <v>879</v>
      </c>
      <c r="E323" s="8" t="str">
        <f aca="false">HYPERLINK("https://mncourtfraud.com/file/MCRO_27-CR-19-901_Notice of Remote Hearing with Instructions_2022-05-05_20240430091109.pdf","MCRO_27-CR-19-901_Notice of Remote Hearing with Instructions_2022-05-05_20240430091109.pdf")</f>
        <v>MCRO_27-CR-19-901_Notice of Remote Hearing with Instructions_2022-05-05_20240430091109.pdf</v>
      </c>
      <c r="F323" s="1" t="s">
        <v>1243</v>
      </c>
      <c r="G323" s="9" t="n">
        <v>44686</v>
      </c>
      <c r="H323" s="1" t="n">
        <v>1</v>
      </c>
    </row>
    <row r="324" customFormat="false" ht="18.7" hidden="false" customHeight="true" outlineLevel="0" collapsed="false">
      <c r="A324" s="1" t="n">
        <v>323</v>
      </c>
      <c r="B324" s="7" t="str">
        <f aca="false">HYPERLINK("https://mncourtfraud.com/file/EGK-20.zip","EGK-20.zip")</f>
        <v>EGK-20.zip</v>
      </c>
      <c r="C324" s="8" t="str">
        <f aca="false">HYPERLINK("https://mncourtfraud.com/file/27-CR-20-13495.pdf","27-CR-20-13495")</f>
        <v>27-CR-20-13495</v>
      </c>
      <c r="D324" s="3" t="s">
        <v>879</v>
      </c>
      <c r="E324" s="8" t="str">
        <f aca="false">HYPERLINK("https://mncourtfraud.com/file/MCRO_27-CR-20-13495_Notice of Remote Hearing with Instructions_2022-05-05_20240430085928.pdf","MCRO_27-CR-20-13495_Notice of Remote Hearing with Instructions_2022-05-05_20240430085928.pdf")</f>
        <v>MCRO_27-CR-20-13495_Notice of Remote Hearing with Instructions_2022-05-05_20240430085928.pdf</v>
      </c>
      <c r="F324" s="1" t="s">
        <v>1243</v>
      </c>
      <c r="G324" s="9" t="n">
        <v>44686</v>
      </c>
      <c r="H324" s="1" t="n">
        <v>1</v>
      </c>
    </row>
    <row r="325" customFormat="false" ht="18.7" hidden="false" customHeight="true" outlineLevel="0" collapsed="false">
      <c r="A325" s="1" t="n">
        <v>324</v>
      </c>
      <c r="B325" s="7" t="str">
        <f aca="false">HYPERLINK("https://mncourtfraud.com/file/EGK-20.zip","EGK-20.zip")</f>
        <v>EGK-20.zip</v>
      </c>
      <c r="C325" s="8" t="str">
        <f aca="false">HYPERLINK("https://mncourtfraud.com/file/27-CR-20-13495.pdf","27-CR-20-13495")</f>
        <v>27-CR-20-13495</v>
      </c>
      <c r="D325" s="3" t="s">
        <v>879</v>
      </c>
      <c r="E325" s="8" t="str">
        <f aca="false">HYPERLINK("https://mncourtfraud.com/file/MCRO_27-CR-20-13495_Notice of Hearing_2023-10-04_20240430085915.pdf","MCRO_27-CR-20-13495_Notice of Hearing_2023-10-04_20240430085915.pdf")</f>
        <v>MCRO_27-CR-20-13495_Notice of Hearing_2023-10-04_20240430085915.pdf</v>
      </c>
      <c r="F325" s="1" t="s">
        <v>1244</v>
      </c>
      <c r="G325" s="9" t="n">
        <v>45203</v>
      </c>
      <c r="H325" s="1" t="n">
        <v>1</v>
      </c>
    </row>
    <row r="326" customFormat="false" ht="18.7" hidden="false" customHeight="true" outlineLevel="0" collapsed="false">
      <c r="A326" s="1" t="n">
        <v>325</v>
      </c>
      <c r="G326" s="9"/>
    </row>
    <row r="327" customFormat="false" ht="18.7" hidden="false" customHeight="true" outlineLevel="0" collapsed="false">
      <c r="A327" s="1" t="n">
        <v>326</v>
      </c>
      <c r="B327" s="7" t="str">
        <f aca="false">HYPERLINK("https://mncourtfraud.com/file/JMJ-9.zip","JMJ-9.zip")</f>
        <v>JMJ-9.zip</v>
      </c>
      <c r="C327" s="8" t="str">
        <f aca="false">HYPERLINK("https://mncourtfraud.com/file/27-CR-19-28883.pdf","27-CR-19-28883")</f>
        <v>27-CR-19-28883</v>
      </c>
      <c r="D327" s="3" t="s">
        <v>948</v>
      </c>
      <c r="E327" s="8" t="str">
        <f aca="false">HYPERLINK("https://mncourtfraud.com/file/MCRO_27-CR-19-28883_Notice of Case Reassignment_2021-03-30_20240430092403.pdf","MCRO_27-CR-19-28883_Notice of Case Reassignment_2021-03-30_20240430092403.pdf")</f>
        <v>MCRO_27-CR-19-28883_Notice of Case Reassignment_2021-03-30_20240430092403.pdf</v>
      </c>
      <c r="F327" s="1" t="s">
        <v>1245</v>
      </c>
      <c r="G327" s="9" t="n">
        <v>44285</v>
      </c>
      <c r="H327" s="1" t="n">
        <v>34</v>
      </c>
    </row>
    <row r="328" customFormat="false" ht="18.7" hidden="false" customHeight="true" outlineLevel="0" collapsed="false">
      <c r="A328" s="1" t="n">
        <v>327</v>
      </c>
      <c r="B328" s="7" t="str">
        <f aca="false">HYPERLINK("https://mncourtfraud.com/file/JMJ-9.zip","JMJ-9.zip")</f>
        <v>JMJ-9.zip</v>
      </c>
      <c r="C328" s="8" t="str">
        <f aca="false">HYPERLINK("https://mncourtfraud.com/file/27-CR-19-28883.pdf","27-CR-19-28883")</f>
        <v>27-CR-19-28883</v>
      </c>
      <c r="D328" s="3" t="s">
        <v>948</v>
      </c>
      <c r="E328" s="8" t="str">
        <f aca="false">HYPERLINK("https://mncourtfraud.com/file/MCRO_27-CR-19-28883_Order for Conditional Release_2020-02-12_20240430092411.pdf","MCRO_27-CR-19-28883_Order for Conditional Release_2020-02-12_20240430092411.pdf")</f>
        <v>MCRO_27-CR-19-28883_Order for Conditional Release_2020-02-12_20240430092411.pdf</v>
      </c>
      <c r="F328" s="1" t="s">
        <v>1246</v>
      </c>
      <c r="G328" s="9" t="n">
        <v>43873</v>
      </c>
      <c r="H328" s="1" t="n">
        <v>7</v>
      </c>
    </row>
    <row r="329" customFormat="false" ht="18.7" hidden="false" customHeight="true" outlineLevel="0" collapsed="false">
      <c r="A329" s="1" t="n">
        <v>328</v>
      </c>
      <c r="B329" s="7" t="str">
        <f aca="false">HYPERLINK("https://mncourtfraud.com/file/JMJ-9.zip","JMJ-9.zip")</f>
        <v>JMJ-9.zip</v>
      </c>
      <c r="C329" s="8" t="str">
        <f aca="false">HYPERLINK("https://mncourtfraud.com/file/27-CR-19-28883.pdf","27-CR-19-28883")</f>
        <v>27-CR-19-28883</v>
      </c>
      <c r="D329" s="3" t="s">
        <v>948</v>
      </c>
      <c r="E329" s="8" t="str">
        <f aca="false">HYPERLINK("https://mncourtfraud.com/file/MCRO_27-CR-19-28883_Returned Mail_2021-04-08_20240430092402.pdf","MCRO_27-CR-19-28883_Returned Mail_2021-04-08_20240430092402.pdf")</f>
        <v>MCRO_27-CR-19-28883_Returned Mail_2021-04-08_20240430092402.pdf</v>
      </c>
      <c r="F329" s="1" t="s">
        <v>1247</v>
      </c>
      <c r="G329" s="9" t="n">
        <v>44294</v>
      </c>
      <c r="H329" s="1" t="n">
        <v>7</v>
      </c>
    </row>
    <row r="330" customFormat="false" ht="18.7" hidden="false" customHeight="true" outlineLevel="0" collapsed="false">
      <c r="A330" s="1" t="n">
        <v>329</v>
      </c>
      <c r="B330" s="7" t="str">
        <f aca="false">HYPERLINK("https://mncourtfraud.com/file/JMJ-9.zip","JMJ-9.zip")</f>
        <v>JMJ-9.zip</v>
      </c>
      <c r="C330" s="8" t="str">
        <f aca="false">HYPERLINK("https://mncourtfraud.com/file/27-CR-19-28883.pdf","27-CR-19-28883")</f>
        <v>27-CR-19-28883</v>
      </c>
      <c r="D330" s="3" t="s">
        <v>948</v>
      </c>
      <c r="E330" s="8" t="str">
        <f aca="false">HYPERLINK("https://mncourtfraud.com/file/MCRO_27-CR-19-28883_Notice of Case Reassignment_2020-01-03_20240430092413.pdf","MCRO_27-CR-19-28883_Notice of Case Reassignment_2020-01-03_20240430092413.pdf")</f>
        <v>MCRO_27-CR-19-28883_Notice of Case Reassignment_2020-01-03_20240430092413.pdf</v>
      </c>
      <c r="F330" s="1" t="s">
        <v>1248</v>
      </c>
      <c r="G330" s="9" t="n">
        <v>43833</v>
      </c>
      <c r="H330" s="1" t="n">
        <v>6</v>
      </c>
    </row>
    <row r="331" customFormat="false" ht="18.7" hidden="false" customHeight="true" outlineLevel="0" collapsed="false">
      <c r="A331" s="1" t="n">
        <v>330</v>
      </c>
      <c r="B331" s="7" t="str">
        <f aca="false">HYPERLINK("https://mncourtfraud.com/file/JMJ-9.zip","JMJ-9.zip")</f>
        <v>JMJ-9.zip</v>
      </c>
      <c r="C331" s="8" t="str">
        <f aca="false">HYPERLINK("https://mncourtfraud.com/file/27-CR-19-28883.pdf","27-CR-19-28883")</f>
        <v>27-CR-19-28883</v>
      </c>
      <c r="D331" s="3" t="s">
        <v>948</v>
      </c>
      <c r="E331" s="8" t="str">
        <f aca="false">HYPERLINK("https://mncourtfraud.com/file/MCRO_27-CR-19-28883_Notice of Case Reassignment_2022-04-01_20240430092354.pdf","MCRO_27-CR-19-28883_Notice of Case Reassignment_2022-04-01_20240430092354.pdf")</f>
        <v>MCRO_27-CR-19-28883_Notice of Case Reassignment_2022-04-01_20240430092354.pdf</v>
      </c>
      <c r="F331" s="1" t="s">
        <v>1249</v>
      </c>
      <c r="G331" s="9" t="n">
        <v>44652</v>
      </c>
      <c r="H331" s="1" t="n">
        <v>6</v>
      </c>
    </row>
    <row r="332" customFormat="false" ht="18.7" hidden="false" customHeight="true" outlineLevel="0" collapsed="false">
      <c r="A332" s="1" t="n">
        <v>331</v>
      </c>
      <c r="B332" s="7" t="str">
        <f aca="false">HYPERLINK("https://mncourtfraud.com/file/JMJ-9.zip","JMJ-9.zip")</f>
        <v>JMJ-9.zip</v>
      </c>
      <c r="C332" s="8" t="str">
        <f aca="false">HYPERLINK("https://mncourtfraud.com/file/27-CR-21-13795.pdf","27-CR-21-13795")</f>
        <v>27-CR-21-13795</v>
      </c>
      <c r="D332" s="3" t="s">
        <v>948</v>
      </c>
      <c r="E332" s="8" t="str">
        <f aca="false">HYPERLINK("https://mncourtfraud.com/file/MCRO_27-CR-21-13795_Notice of Case Reassignment_2022-04-01_20240430082440.pdf","MCRO_27-CR-21-13795_Notice of Case Reassignment_2022-04-01_20240430082440.pdf")</f>
        <v>MCRO_27-CR-21-13795_Notice of Case Reassignment_2022-04-01_20240430082440.pdf</v>
      </c>
      <c r="F332" s="1" t="s">
        <v>1250</v>
      </c>
      <c r="G332" s="9" t="n">
        <v>44652</v>
      </c>
      <c r="H332" s="1" t="n">
        <v>6</v>
      </c>
    </row>
    <row r="333" customFormat="false" ht="18.7" hidden="false" customHeight="true" outlineLevel="0" collapsed="false">
      <c r="A333" s="1" t="n">
        <v>332</v>
      </c>
      <c r="B333" s="7" t="str">
        <f aca="false">HYPERLINK("https://mncourtfraud.com/file/JMJ-9.zip","JMJ-9.zip")</f>
        <v>JMJ-9.zip</v>
      </c>
      <c r="C333" s="8" t="str">
        <f aca="false">HYPERLINK("https://mncourtfraud.com/file/27-CR-19-28883.pdf","27-CR-19-28883")</f>
        <v>27-CR-19-28883</v>
      </c>
      <c r="D333" s="3" t="s">
        <v>948</v>
      </c>
      <c r="E333" s="8" t="str">
        <f aca="false">HYPERLINK("https://mncourtfraud.com/file/MCRO_27-CR-19-28883_Notice of Case Reassignment_2023-01-13_20240430092344.pdf","MCRO_27-CR-19-28883_Notice of Case Reassignment_2023-01-13_20240430092344.pdf")</f>
        <v>MCRO_27-CR-19-28883_Notice of Case Reassignment_2023-01-13_20240430092344.pdf</v>
      </c>
      <c r="F333" s="1" t="s">
        <v>1251</v>
      </c>
      <c r="G333" s="9" t="n">
        <v>44939</v>
      </c>
      <c r="H333" s="1" t="n">
        <v>6</v>
      </c>
    </row>
    <row r="334" customFormat="false" ht="18.7" hidden="false" customHeight="true" outlineLevel="0" collapsed="false">
      <c r="A334" s="1" t="n">
        <v>333</v>
      </c>
      <c r="B334" s="7" t="str">
        <f aca="false">HYPERLINK("https://mncourtfraud.com/file/JMJ-9.zip","JMJ-9.zip")</f>
        <v>JMJ-9.zip</v>
      </c>
      <c r="C334" s="8" t="str">
        <f aca="false">HYPERLINK("https://mncourtfraud.com/file/27-CR-21-13795.pdf","27-CR-21-13795")</f>
        <v>27-CR-21-13795</v>
      </c>
      <c r="D334" s="3" t="s">
        <v>948</v>
      </c>
      <c r="E334" s="8" t="str">
        <f aca="false">HYPERLINK("https://mncourtfraud.com/file/MCRO_27-CR-21-13795_Notice of Case Reassignment_2023-01-13_20240430082432.pdf","MCRO_27-CR-21-13795_Notice of Case Reassignment_2023-01-13_20240430082432.pdf")</f>
        <v>MCRO_27-CR-21-13795_Notice of Case Reassignment_2023-01-13_20240430082432.pdf</v>
      </c>
      <c r="F334" s="1" t="s">
        <v>1252</v>
      </c>
      <c r="G334" s="9" t="n">
        <v>44939</v>
      </c>
      <c r="H334" s="1" t="n">
        <v>6</v>
      </c>
    </row>
    <row r="335" customFormat="false" ht="18.7" hidden="false" customHeight="true" outlineLevel="0" collapsed="false">
      <c r="A335" s="1" t="n">
        <v>334</v>
      </c>
      <c r="G335" s="9"/>
    </row>
    <row r="336" customFormat="false" ht="18.7" hidden="false" customHeight="true" outlineLevel="0" collapsed="false">
      <c r="A336" s="1" t="n">
        <v>335</v>
      </c>
      <c r="B336" s="7" t="str">
        <f aca="false">HYPERLINK("https://mncourtfraud.com/file/AAH-10.zip","AAH-10.zip")</f>
        <v>AAH-10.zip</v>
      </c>
      <c r="C336" s="8" t="str">
        <f aca="false">HYPERLINK("https://mncourtfraud.com/file/27-CR-22-22985.pdf","27-CR-22-22985")</f>
        <v>27-CR-22-22985</v>
      </c>
      <c r="D336" s="3" t="s">
        <v>980</v>
      </c>
      <c r="E336" s="8" t="str">
        <f aca="false">HYPERLINK("https://mncourtfraud.com/file/MCRO_27-CR-22-22985_Notice of Hearing_2023-12-29_20240429164034.pdf","MCRO_27-CR-22-22985_Notice of Hearing_2023-12-29_20240429164034.pdf")</f>
        <v>MCRO_27-CR-22-22985_Notice of Hearing_2023-12-29_20240429164034.pdf</v>
      </c>
      <c r="F336" s="1" t="s">
        <v>1017</v>
      </c>
      <c r="G336" s="9" t="n">
        <v>45289</v>
      </c>
      <c r="H336" s="1" t="n">
        <v>10</v>
      </c>
    </row>
    <row r="337" customFormat="false" ht="18.7" hidden="false" customHeight="true" outlineLevel="0" collapsed="false">
      <c r="A337" s="1" t="n">
        <v>336</v>
      </c>
      <c r="B337" s="7" t="str">
        <f aca="false">HYPERLINK("https://mncourtfraud.com/file/AAH-10.zip","AAH-10.zip")</f>
        <v>AAH-10.zip</v>
      </c>
      <c r="C337" s="8" t="str">
        <f aca="false">HYPERLINK("https://mncourtfraud.com/file/27-CR-22-18859.pdf","27-CR-22-18859")</f>
        <v>27-CR-22-18859</v>
      </c>
      <c r="D337" s="3" t="s">
        <v>980</v>
      </c>
      <c r="E337" s="8" t="str">
        <f aca="false">HYPERLINK("https://mncourtfraud.com/file/MCRO_27-CR-22-18859_Notice of Case Reassignment_2023-06-16_20240429162341.pdf","MCRO_27-CR-22-18859_Notice of Case Reassignment_2023-06-16_20240429162341.pdf")</f>
        <v>MCRO_27-CR-22-18859_Notice of Case Reassignment_2023-06-16_20240429162341.pdf</v>
      </c>
      <c r="F337" s="1" t="s">
        <v>984</v>
      </c>
      <c r="G337" s="9" t="n">
        <v>45093</v>
      </c>
      <c r="H337" s="1" t="n">
        <v>5</v>
      </c>
    </row>
    <row r="338" customFormat="false" ht="18.7" hidden="false" customHeight="true" outlineLevel="0" collapsed="false">
      <c r="A338" s="1" t="n">
        <v>337</v>
      </c>
      <c r="B338" s="7" t="str">
        <f aca="false">HYPERLINK("https://mncourtfraud.com/file/AAH-10.zip","AAH-10.zip")</f>
        <v>AAH-10.zip</v>
      </c>
      <c r="C338" s="8" t="str">
        <f aca="false">HYPERLINK("https://mncourtfraud.com/file/27-CR-22-22985.pdf","27-CR-22-22985")</f>
        <v>27-CR-22-22985</v>
      </c>
      <c r="D338" s="3" t="s">
        <v>980</v>
      </c>
      <c r="E338" s="8" t="str">
        <f aca="false">HYPERLINK("https://mncourtfraud.com/file/MCRO_27-CR-22-22985_Notice of Case Reassignment_2023-06-16_20240429164046.pdf","MCRO_27-CR-22-22985_Notice of Case Reassignment_2023-06-16_20240429164046.pdf")</f>
        <v>MCRO_27-CR-22-22985_Notice of Case Reassignment_2023-06-16_20240429164046.pdf</v>
      </c>
      <c r="F338" s="1" t="s">
        <v>984</v>
      </c>
      <c r="G338" s="9" t="n">
        <v>45093</v>
      </c>
      <c r="H338" s="1" t="n">
        <v>5</v>
      </c>
    </row>
    <row r="339" customFormat="false" ht="18.7" hidden="false" customHeight="true" outlineLevel="0" collapsed="false">
      <c r="A339" s="1" t="n">
        <v>338</v>
      </c>
      <c r="B339" s="7" t="str">
        <f aca="false">HYPERLINK("https://mncourtfraud.com/file/AAH-10.zip","AAH-10.zip")</f>
        <v>AAH-10.zip</v>
      </c>
      <c r="C339" s="8" t="str">
        <f aca="false">HYPERLINK("https://mncourtfraud.com/file/27-CR-22-18859.pdf","27-CR-22-18859")</f>
        <v>27-CR-22-18859</v>
      </c>
      <c r="D339" s="3" t="s">
        <v>980</v>
      </c>
      <c r="E339" s="8" t="str">
        <f aca="false">HYPERLINK("https://mncourtfraud.com/file/MCRO_27-CR-22-18859_Notice of Case Reassignment_2022-12-19_20240429162342.pdf","MCRO_27-CR-22-18859_Notice of Case Reassignment_2022-12-19_20240429162342.pdf")</f>
        <v>MCRO_27-CR-22-18859_Notice of Case Reassignment_2022-12-19_20240429162342.pdf</v>
      </c>
      <c r="F339" s="1" t="s">
        <v>1253</v>
      </c>
      <c r="G339" s="9" t="n">
        <v>44914</v>
      </c>
      <c r="H339" s="1" t="n">
        <v>4</v>
      </c>
    </row>
    <row r="340" customFormat="false" ht="18.7" hidden="false" customHeight="true" outlineLevel="0" collapsed="false">
      <c r="A340" s="1" t="n">
        <v>339</v>
      </c>
      <c r="B340" s="7" t="str">
        <f aca="false">HYPERLINK("https://mncourtfraud.com/file/AAH-10.zip","AAH-10.zip")</f>
        <v>AAH-10.zip</v>
      </c>
      <c r="C340" s="8" t="str">
        <f aca="false">HYPERLINK("https://mncourtfraud.com/file/27-CR-22-22985.pdf","27-CR-22-22985")</f>
        <v>27-CR-22-22985</v>
      </c>
      <c r="D340" s="3" t="s">
        <v>980</v>
      </c>
      <c r="E340" s="8" t="str">
        <f aca="false">HYPERLINK("https://mncourtfraud.com/file/MCRO_27-CR-22-22985_Notice of Case Reassignment_2022-12-19_20240429164047.pdf","MCRO_27-CR-22-22985_Notice of Case Reassignment_2022-12-19_20240429164047.pdf")</f>
        <v>MCRO_27-CR-22-22985_Notice of Case Reassignment_2022-12-19_20240429164047.pdf</v>
      </c>
      <c r="F340" s="1" t="s">
        <v>1254</v>
      </c>
      <c r="G340" s="9" t="n">
        <v>44914</v>
      </c>
      <c r="H340" s="1" t="n">
        <v>4</v>
      </c>
    </row>
    <row r="341" customFormat="false" ht="18.7" hidden="false" customHeight="true" outlineLevel="0" collapsed="false">
      <c r="A341" s="1" t="n">
        <v>340</v>
      </c>
      <c r="G341" s="9"/>
    </row>
    <row r="342" customFormat="false" ht="18.7" hidden="false" customHeight="true" outlineLevel="0" collapsed="false">
      <c r="A342" s="1" t="n">
        <v>341</v>
      </c>
      <c r="B342" s="7" t="str">
        <f aca="false">HYPERLINK("https://mncourtfraud.com/file/MB-2.zip","MB-2.zip")</f>
        <v>MB-2.zip</v>
      </c>
      <c r="C342" s="8" t="str">
        <f aca="false">HYPERLINK("https://mncourtfraud.com/file/27-CR-21-6229.pdf","27-CR-21-6229")</f>
        <v>27-CR-21-6229</v>
      </c>
      <c r="D342" s="3" t="s">
        <v>1023</v>
      </c>
      <c r="E342" s="8" t="str">
        <f aca="false">HYPERLINK("https://mncourtfraud.com/file/MCRO_27-CR-21-6229_Notice of Case Reassignment_2022-05-13_20240430080224.pdf","MCRO_27-CR-21-6229_Notice of Case Reassignment_2022-05-13_20240430080224.pdf")</f>
        <v>MCRO_27-CR-21-6229_Notice of Case Reassignment_2022-05-13_20240430080224.pdf</v>
      </c>
      <c r="F342" s="1" t="s">
        <v>1255</v>
      </c>
      <c r="G342" s="9" t="n">
        <v>44694</v>
      </c>
      <c r="H342" s="1" t="n">
        <v>4</v>
      </c>
    </row>
    <row r="343" customFormat="false" ht="18.7" hidden="false" customHeight="true" outlineLevel="0" collapsed="false">
      <c r="A343" s="1" t="n">
        <v>342</v>
      </c>
      <c r="B343" s="7" t="str">
        <f aca="false">HYPERLINK("https://mncourtfraud.com/file/MB-2.zip","MB-2.zip")</f>
        <v>MB-2.zip</v>
      </c>
      <c r="C343" s="8" t="str">
        <f aca="false">HYPERLINK("https://mncourtfraud.com/file/27-CR-21-6229.pdf","27-CR-21-6229")</f>
        <v>27-CR-21-6229</v>
      </c>
      <c r="D343" s="3" t="s">
        <v>1023</v>
      </c>
      <c r="E343" s="8" t="str">
        <f aca="false">HYPERLINK("https://mncourtfraud.com/file/MCRO_27-CR-21-6229_Finding of Incompetency and Order_2023-10-03_20240430080218.pdf","MCRO_27-CR-21-6229_Finding of Incompetency and Order_2023-10-03_20240430080218.pdf")</f>
        <v>MCRO_27-CR-21-6229_Finding of Incompetency and Order_2023-10-03_20240430080218.pdf</v>
      </c>
      <c r="F343" s="1" t="s">
        <v>1256</v>
      </c>
      <c r="G343" s="9" t="n">
        <v>45202</v>
      </c>
      <c r="H343" s="1" t="n">
        <v>1</v>
      </c>
    </row>
    <row r="344" customFormat="false" ht="18.7" hidden="false" customHeight="true" outlineLevel="0" collapsed="false">
      <c r="A344" s="1" t="n">
        <v>343</v>
      </c>
      <c r="G344" s="9"/>
    </row>
    <row r="345" customFormat="false" ht="18.7" hidden="false" customHeight="true" outlineLevel="0" collapsed="false">
      <c r="A345" s="1" t="n">
        <v>344</v>
      </c>
      <c r="B345" s="7" t="str">
        <f aca="false">HYPERLINK("https://mncourtfraud.com/file/TMN-1.zip","TMN-1.zip")</f>
        <v>TMN-1.zip</v>
      </c>
      <c r="C345" s="8" t="str">
        <f aca="false">HYPERLINK("https://mncourtfraud.com/file/27-CR-21-6710.pdf","27-CR-21-6710")</f>
        <v>27-CR-21-6710</v>
      </c>
      <c r="D345" s="3" t="s">
        <v>1257</v>
      </c>
      <c r="E345" s="8" t="str">
        <f aca="false">HYPERLINK("https://mncourtfraud.com/file/MCRO_27-CR-21-6710_Returned Mail_2021-12-13_20240430080418.pdf","MCRO_27-CR-21-6710_Returned Mail_2021-12-13_20240430080418.pdf")</f>
        <v>MCRO_27-CR-21-6710_Returned Mail_2021-12-13_20240430080418.pdf</v>
      </c>
      <c r="F345" s="1" t="s">
        <v>1258</v>
      </c>
      <c r="G345" s="9" t="n">
        <v>44543</v>
      </c>
      <c r="H345" s="1" t="n">
        <v>5</v>
      </c>
    </row>
    <row r="346" customFormat="false" ht="18.7" hidden="false" customHeight="true" outlineLevel="0" collapsed="false">
      <c r="A346" s="1" t="n">
        <v>345</v>
      </c>
      <c r="B346" s="7" t="str">
        <f aca="false">HYPERLINK("https://mncourtfraud.com/file/TMN-1.zip","TMN-1.zip")</f>
        <v>TMN-1.zip</v>
      </c>
      <c r="C346" s="8" t="str">
        <f aca="false">HYPERLINK("https://mncourtfraud.com/file/27-CR-21-6710.pdf","27-CR-21-6710")</f>
        <v>27-CR-21-6710</v>
      </c>
      <c r="D346" s="3" t="s">
        <v>1257</v>
      </c>
      <c r="E346" s="8" t="str">
        <f aca="false">HYPERLINK("https://mncourtfraud.com/file/MCRO_27-CR-21-6710_Returned Mail_2021-04-20_20240430080423.pdf","MCRO_27-CR-21-6710_Returned Mail_2021-04-20_20240430080423.pdf")</f>
        <v>MCRO_27-CR-21-6710_Returned Mail_2021-04-20_20240430080423.pdf</v>
      </c>
      <c r="F346" s="1" t="s">
        <v>1259</v>
      </c>
      <c r="G346" s="9" t="n">
        <v>44306</v>
      </c>
      <c r="H346" s="1" t="n">
        <v>3</v>
      </c>
    </row>
    <row r="347" customFormat="false" ht="18.7" hidden="false" customHeight="true" outlineLevel="0" collapsed="false">
      <c r="A347" s="1" t="n">
        <v>346</v>
      </c>
      <c r="B347" s="7" t="str">
        <f aca="false">HYPERLINK("https://mncourtfraud.com/file/TMN-1.zip","TMN-1.zip")</f>
        <v>TMN-1.zip</v>
      </c>
      <c r="C347" s="8" t="str">
        <f aca="false">HYPERLINK("https://mncourtfraud.com/file/27-CR-21-6710.pdf","27-CR-21-6710")</f>
        <v>27-CR-21-6710</v>
      </c>
      <c r="D347" s="3" t="s">
        <v>1257</v>
      </c>
      <c r="E347" s="8" t="str">
        <f aca="false">HYPERLINK("https://mncourtfraud.com/file/MCRO_27-CR-21-6710_Returned Mail_2022-06-07_20240430080400.pdf","MCRO_27-CR-21-6710_Returned Mail_2022-06-07_20240430080400.pdf")</f>
        <v>MCRO_27-CR-21-6710_Returned Mail_2022-06-07_20240430080400.pdf</v>
      </c>
      <c r="F347" s="1" t="s">
        <v>1260</v>
      </c>
      <c r="G347" s="9" t="n">
        <v>44719</v>
      </c>
      <c r="H347" s="1" t="n">
        <v>2</v>
      </c>
    </row>
    <row r="348" customFormat="false" ht="18.7" hidden="false" customHeight="true" outlineLevel="0" collapsed="false">
      <c r="A348" s="1" t="n">
        <v>347</v>
      </c>
      <c r="B348" s="7" t="str">
        <f aca="false">HYPERLINK("https://mncourtfraud.com/file/TMN-1.zip","TMN-1.zip")</f>
        <v>TMN-1.zip</v>
      </c>
      <c r="C348" s="8" t="str">
        <f aca="false">HYPERLINK("https://mncourtfraud.com/file/27-CR-21-6710.pdf","27-CR-21-6710")</f>
        <v>27-CR-21-6710</v>
      </c>
      <c r="D348" s="3" t="s">
        <v>1257</v>
      </c>
      <c r="E348" s="8" t="str">
        <f aca="false">HYPERLINK("https://mncourtfraud.com/file/MCRO_27-CR-21-6710_Warrant Issued_2021-06-08_20240430080422.pdf","MCRO_27-CR-21-6710_Warrant Issued_2021-06-08_20240430080422.pdf")</f>
        <v>MCRO_27-CR-21-6710_Warrant Issued_2021-06-08_20240430080422.pdf</v>
      </c>
      <c r="F348" s="1" t="s">
        <v>1261</v>
      </c>
      <c r="G348" s="9" t="n">
        <v>44355</v>
      </c>
      <c r="H348" s="1" t="n">
        <v>1</v>
      </c>
    </row>
    <row r="349" customFormat="false" ht="18.7" hidden="false" customHeight="true" outlineLevel="0" collapsed="false">
      <c r="A349" s="1" t="n">
        <v>348</v>
      </c>
      <c r="B349" s="7" t="str">
        <f aca="false">HYPERLINK("https://mncourtfraud.com/file/TMN-1.zip","TMN-1.zip")</f>
        <v>TMN-1.zip</v>
      </c>
      <c r="C349" s="8" t="str">
        <f aca="false">HYPERLINK("https://mncourtfraud.com/file/27-CR-21-6710.pdf","27-CR-21-6710")</f>
        <v>27-CR-21-6710</v>
      </c>
      <c r="D349" s="3" t="s">
        <v>1257</v>
      </c>
      <c r="E349" s="8" t="str">
        <f aca="false">HYPERLINK("https://mncourtfraud.com/file/MCRO_27-CR-21-6710_Order-Evaluation for Competency to Proceed (Rule 20.01)_2022-04-19_20240430080411.pdf","MCRO_27-CR-21-6710_Order-Evaluation for Competency to Proceed (Rule 20.01)_2022-04-19_20240430080411.pdf")</f>
        <v>MCRO_27-CR-21-6710_Order-Evaluation for Competency to Proceed (Rule 20.01)_2022-04-19_20240430080411.pdf</v>
      </c>
      <c r="F349" s="1" t="s">
        <v>1262</v>
      </c>
      <c r="G349" s="9" t="n">
        <v>44670</v>
      </c>
      <c r="H349" s="1" t="n">
        <v>1</v>
      </c>
    </row>
    <row r="350" customFormat="false" ht="18.7" hidden="false" customHeight="true" outlineLevel="0" collapsed="false">
      <c r="A350" s="1" t="n">
        <v>349</v>
      </c>
      <c r="B350" s="7" t="str">
        <f aca="false">HYPERLINK("https://mncourtfraud.com/file/TMN-1.zip","TMN-1.zip")</f>
        <v>TMN-1.zip</v>
      </c>
      <c r="C350" s="8" t="str">
        <f aca="false">HYPERLINK("https://mncourtfraud.com/file/27-CR-21-6710.pdf","27-CR-21-6710")</f>
        <v>27-CR-21-6710</v>
      </c>
      <c r="D350" s="3" t="s">
        <v>1257</v>
      </c>
      <c r="E350" s="8" t="str">
        <f aca="false">HYPERLINK("https://mncourtfraud.com/file/MCRO_27-CR-21-6710_Law Enforcement Notice of Release and Appearance_2022-08-08_20240430080355.pdf","MCRO_27-CR-21-6710_Law Enforcement Notice of Release and Appearance_2022-08-08_20240430080355.pdf")</f>
        <v>MCRO_27-CR-21-6710_Law Enforcement Notice of Release and Appearance_2022-08-08_20240430080355.pdf</v>
      </c>
      <c r="F350" s="1" t="s">
        <v>1263</v>
      </c>
      <c r="G350" s="9" t="n">
        <v>44781</v>
      </c>
      <c r="H350" s="1" t="n">
        <v>1</v>
      </c>
    </row>
    <row r="351" customFormat="false" ht="18.7" hidden="false" customHeight="true" outlineLevel="0" collapsed="false">
      <c r="A351" s="1" t="n">
        <v>350</v>
      </c>
      <c r="B351" s="7" t="str">
        <f aca="false">HYPERLINK("https://mncourtfraud.com/file/TMN-1.zip","TMN-1.zip")</f>
        <v>TMN-1.zip</v>
      </c>
      <c r="C351" s="8" t="str">
        <f aca="false">HYPERLINK("https://mncourtfraud.com/file/27-CR-21-6710.pdf","27-CR-21-6710")</f>
        <v>27-CR-21-6710</v>
      </c>
      <c r="D351" s="3" t="s">
        <v>1257</v>
      </c>
      <c r="E351" s="8" t="str">
        <f aca="false">HYPERLINK("https://mncourtfraud.com/file/MCRO_27-CR-21-6710_Notice of Remote Hearing with Instructions_2022-08-08_20240430080354.pdf","MCRO_27-CR-21-6710_Notice of Remote Hearing with Instructions_2022-08-08_20240430080354.pdf")</f>
        <v>MCRO_27-CR-21-6710_Notice of Remote Hearing with Instructions_2022-08-08_20240430080354.pdf</v>
      </c>
      <c r="F351" s="1" t="s">
        <v>1264</v>
      </c>
      <c r="G351" s="9" t="n">
        <v>44781</v>
      </c>
      <c r="H351" s="1" t="n">
        <v>1</v>
      </c>
    </row>
    <row r="352" customFormat="false" ht="18.7" hidden="false" customHeight="true" outlineLevel="0" collapsed="false">
      <c r="A352" s="1" t="n">
        <v>351</v>
      </c>
      <c r="B352" s="7" t="str">
        <f aca="false">HYPERLINK("https://mncourtfraud.com/file/TMN-1.zip","TMN-1.zip")</f>
        <v>TMN-1.zip</v>
      </c>
      <c r="C352" s="8" t="str">
        <f aca="false">HYPERLINK("https://mncourtfraud.com/file/27-CR-21-6710.pdf","27-CR-21-6710")</f>
        <v>27-CR-21-6710</v>
      </c>
      <c r="D352" s="3" t="s">
        <v>1257</v>
      </c>
      <c r="E352" s="8" t="str">
        <f aca="false">HYPERLINK("https://mncourtfraud.com/file/MCRO_27-CR-21-6710_Finding of Incompetency and Order_2024-03-12_20240430080346.pdf","MCRO_27-CR-21-6710_Finding of Incompetency and Order_2024-03-12_20240430080346.pdf")</f>
        <v>MCRO_27-CR-21-6710_Finding of Incompetency and Order_2024-03-12_20240430080346.pdf</v>
      </c>
      <c r="F352" s="1" t="s">
        <v>1265</v>
      </c>
      <c r="G352" s="9" t="n">
        <v>45363</v>
      </c>
      <c r="H352" s="1" t="n">
        <v>1</v>
      </c>
    </row>
    <row r="353" customFormat="false" ht="18.7" hidden="false" customHeight="true" outlineLevel="0" collapsed="false">
      <c r="G353" s="9"/>
    </row>
    <row r="354" customFormat="false" ht="18.7" hidden="false" customHeight="true" outlineLevel="0" collapsed="false">
      <c r="G354" s="9"/>
    </row>
    <row r="355" customFormat="false" ht="18.7" hidden="false" customHeight="true" outlineLevel="0" collapsed="false">
      <c r="C355" s="0"/>
      <c r="D355" s="0"/>
      <c r="E355" s="0"/>
      <c r="F355" s="13"/>
      <c r="G355" s="13"/>
      <c r="H355" s="0"/>
    </row>
    <row r="356" customFormat="false" ht="18.7" hidden="false" customHeight="true" outlineLevel="0" collapsed="false">
      <c r="C356" s="0"/>
      <c r="D356" s="0"/>
      <c r="E356" s="0"/>
      <c r="F356" s="13"/>
      <c r="G356" s="13"/>
      <c r="H356" s="0"/>
    </row>
    <row r="357" customFormat="false" ht="18.7" hidden="false" customHeight="true" outlineLevel="0" collapsed="false">
      <c r="C357" s="0"/>
      <c r="D357" s="0"/>
      <c r="E357" s="0"/>
      <c r="F357" s="13"/>
      <c r="G357" s="13"/>
      <c r="H357" s="0"/>
    </row>
    <row r="358" customFormat="false" ht="18.7" hidden="false" customHeight="true" outlineLevel="0" collapsed="false">
      <c r="C358" s="0"/>
      <c r="D358" s="0"/>
      <c r="E358" s="0"/>
      <c r="F358" s="13"/>
      <c r="G358" s="13"/>
      <c r="H358" s="0"/>
    </row>
    <row r="359" customFormat="false" ht="18.7" hidden="false" customHeight="true" outlineLevel="0" collapsed="false">
      <c r="C359" s="0"/>
      <c r="D359" s="0"/>
      <c r="E359" s="0"/>
      <c r="F359" s="13"/>
      <c r="G359" s="13"/>
      <c r="H359" s="0"/>
    </row>
    <row r="360" customFormat="false" ht="18.7" hidden="false" customHeight="true" outlineLevel="0" collapsed="false">
      <c r="C360" s="0"/>
      <c r="D360" s="0"/>
      <c r="E360" s="0"/>
      <c r="F360" s="13"/>
      <c r="G360" s="13"/>
      <c r="H360" s="0"/>
    </row>
    <row r="361" customFormat="false" ht="18.7" hidden="false" customHeight="true" outlineLevel="0" collapsed="false">
      <c r="C361" s="0"/>
      <c r="D361" s="0"/>
      <c r="E361" s="0"/>
      <c r="F361" s="13"/>
      <c r="G361" s="13"/>
      <c r="H361" s="0"/>
    </row>
    <row r="362" customFormat="false" ht="18.7" hidden="false" customHeight="true" outlineLevel="0" collapsed="false">
      <c r="C362" s="0"/>
      <c r="D362" s="0"/>
      <c r="E362" s="0"/>
      <c r="F362" s="13"/>
      <c r="G362" s="13"/>
      <c r="H362" s="0"/>
    </row>
    <row r="363" customFormat="false" ht="18.7" hidden="false" customHeight="true" outlineLevel="0" collapsed="false">
      <c r="C363" s="0"/>
      <c r="D363" s="0"/>
      <c r="E363" s="0"/>
      <c r="F363" s="13"/>
      <c r="G363" s="13"/>
      <c r="H363" s="0"/>
    </row>
    <row r="364" customFormat="false" ht="18.7" hidden="false" customHeight="true" outlineLevel="0" collapsed="false">
      <c r="C364" s="0"/>
      <c r="D364" s="0"/>
      <c r="E364" s="0"/>
      <c r="F364" s="13"/>
      <c r="G364" s="13"/>
      <c r="H364" s="0"/>
    </row>
    <row r="365" customFormat="false" ht="18.7" hidden="false" customHeight="true" outlineLevel="0" collapsed="false">
      <c r="C365" s="0"/>
      <c r="D365" s="0"/>
      <c r="E365" s="0"/>
      <c r="F365" s="13"/>
      <c r="G365" s="13"/>
      <c r="H365" s="0"/>
    </row>
    <row r="366" customFormat="false" ht="18.7" hidden="false" customHeight="true" outlineLevel="0" collapsed="false">
      <c r="C366" s="0"/>
      <c r="D366" s="0"/>
      <c r="E366" s="0"/>
      <c r="F366" s="13"/>
      <c r="G366" s="13"/>
      <c r="H366" s="0"/>
    </row>
    <row r="367" customFormat="false" ht="18.7" hidden="false" customHeight="true" outlineLevel="0" collapsed="false">
      <c r="C367" s="0"/>
      <c r="D367" s="0"/>
      <c r="E367" s="0"/>
      <c r="F367" s="13"/>
      <c r="G367" s="13"/>
      <c r="H367" s="0"/>
    </row>
    <row r="368" customFormat="false" ht="18.7" hidden="false" customHeight="true" outlineLevel="0" collapsed="false">
      <c r="C368" s="0"/>
      <c r="D368" s="0"/>
      <c r="E368" s="0"/>
      <c r="F368" s="13"/>
      <c r="G368" s="13"/>
      <c r="H368" s="0"/>
    </row>
    <row r="369" customFormat="false" ht="18.7" hidden="false" customHeight="true" outlineLevel="0" collapsed="false">
      <c r="C369" s="0"/>
      <c r="D369" s="0"/>
      <c r="E369" s="0"/>
      <c r="F369" s="13"/>
      <c r="G369" s="13"/>
      <c r="H369" s="0"/>
    </row>
    <row r="370" customFormat="false" ht="18.7" hidden="false" customHeight="true" outlineLevel="0" collapsed="false">
      <c r="C370" s="0"/>
      <c r="D370" s="0"/>
      <c r="E370" s="0"/>
      <c r="F370" s="13"/>
      <c r="G370" s="13"/>
      <c r="H370" s="0"/>
    </row>
    <row r="371" customFormat="false" ht="18.7" hidden="false" customHeight="true" outlineLevel="0" collapsed="false">
      <c r="C371" s="0"/>
      <c r="D371" s="0"/>
      <c r="E371" s="0"/>
      <c r="F371" s="13"/>
      <c r="G371" s="13"/>
      <c r="H371" s="0"/>
    </row>
    <row r="372" customFormat="false" ht="18.7" hidden="false" customHeight="true" outlineLevel="0" collapsed="false">
      <c r="C372" s="0"/>
      <c r="D372" s="0"/>
      <c r="E372" s="0"/>
      <c r="F372" s="13"/>
      <c r="G372" s="13"/>
      <c r="H372" s="0"/>
    </row>
    <row r="373" customFormat="false" ht="18.7" hidden="false" customHeight="true" outlineLevel="0" collapsed="false">
      <c r="C373" s="0"/>
      <c r="D373" s="0"/>
      <c r="E373" s="0"/>
      <c r="F373" s="13"/>
      <c r="G373" s="13"/>
      <c r="H373" s="0"/>
    </row>
    <row r="374" customFormat="false" ht="18.7" hidden="false" customHeight="true" outlineLevel="0" collapsed="false">
      <c r="C374" s="0"/>
      <c r="D374" s="0"/>
      <c r="E374" s="0"/>
      <c r="F374" s="13"/>
      <c r="G374" s="13"/>
      <c r="H374" s="0"/>
    </row>
    <row r="375" customFormat="false" ht="18.7" hidden="false" customHeight="true" outlineLevel="0" collapsed="false">
      <c r="C375" s="0"/>
      <c r="D375" s="0"/>
      <c r="E375" s="0"/>
      <c r="F375" s="13"/>
      <c r="G375" s="13"/>
      <c r="H375" s="0"/>
    </row>
    <row r="376" customFormat="false" ht="18.7" hidden="false" customHeight="true" outlineLevel="0" collapsed="false">
      <c r="C376" s="0"/>
      <c r="D376" s="0"/>
      <c r="E376" s="0"/>
      <c r="F376" s="13"/>
      <c r="G376" s="13"/>
      <c r="H376" s="0"/>
    </row>
    <row r="377" customFormat="false" ht="18.7" hidden="false" customHeight="true" outlineLevel="0" collapsed="false">
      <c r="C377" s="0"/>
      <c r="D377" s="0"/>
      <c r="E377" s="0"/>
      <c r="F377" s="13"/>
      <c r="G377" s="13"/>
      <c r="H377" s="0"/>
    </row>
    <row r="378" customFormat="false" ht="18.7" hidden="false" customHeight="true" outlineLevel="0" collapsed="false">
      <c r="C378" s="0"/>
      <c r="D378" s="0"/>
      <c r="E378" s="0"/>
      <c r="F378" s="13"/>
      <c r="G378" s="13"/>
      <c r="H378" s="0"/>
    </row>
    <row r="379" customFormat="false" ht="18.7" hidden="false" customHeight="true" outlineLevel="0" collapsed="false">
      <c r="C379" s="0"/>
      <c r="D379" s="0"/>
      <c r="E379" s="0"/>
      <c r="F379" s="13"/>
      <c r="G379" s="13"/>
      <c r="H379" s="0"/>
    </row>
    <row r="380" customFormat="false" ht="18.7" hidden="false" customHeight="true" outlineLevel="0" collapsed="false">
      <c r="C380" s="0"/>
      <c r="D380" s="0"/>
      <c r="E380" s="0"/>
      <c r="F380" s="13"/>
      <c r="G380" s="13"/>
      <c r="H380" s="0"/>
    </row>
    <row r="381" customFormat="false" ht="18.7" hidden="false" customHeight="true" outlineLevel="0" collapsed="false">
      <c r="C381" s="0"/>
      <c r="D381" s="0"/>
      <c r="E381" s="0"/>
      <c r="F381" s="13"/>
      <c r="G381" s="13"/>
      <c r="H381" s="0"/>
    </row>
    <row r="382" customFormat="false" ht="18.7" hidden="false" customHeight="true" outlineLevel="0" collapsed="false">
      <c r="C382" s="0"/>
      <c r="D382" s="0"/>
      <c r="E382" s="0"/>
      <c r="F382" s="13"/>
      <c r="G382" s="13"/>
      <c r="H382" s="0"/>
    </row>
    <row r="383" customFormat="false" ht="18.7" hidden="false" customHeight="true" outlineLevel="0" collapsed="false">
      <c r="C383" s="0"/>
      <c r="D383" s="0"/>
      <c r="E383" s="0"/>
      <c r="F383" s="13"/>
      <c r="G383" s="13"/>
      <c r="H383" s="0"/>
    </row>
    <row r="384" customFormat="false" ht="18.7" hidden="false" customHeight="true" outlineLevel="0" collapsed="false">
      <c r="C384" s="0"/>
      <c r="D384" s="0"/>
      <c r="E384" s="0"/>
      <c r="F384" s="13"/>
      <c r="G384" s="13"/>
      <c r="H384" s="0"/>
    </row>
    <row r="385" customFormat="false" ht="18.7" hidden="false" customHeight="true" outlineLevel="0" collapsed="false">
      <c r="C385" s="0"/>
      <c r="D385" s="0"/>
      <c r="E385" s="0"/>
      <c r="F385" s="13"/>
      <c r="G385" s="13"/>
      <c r="H385" s="0"/>
    </row>
    <row r="386" customFormat="false" ht="18.7" hidden="false" customHeight="true" outlineLevel="0" collapsed="false">
      <c r="C386" s="0"/>
      <c r="D386" s="0"/>
      <c r="E386" s="0"/>
      <c r="F386" s="13"/>
      <c r="G386" s="13"/>
      <c r="H386" s="0"/>
    </row>
    <row r="387" customFormat="false" ht="18.7" hidden="false" customHeight="true" outlineLevel="0" collapsed="false">
      <c r="C387" s="0"/>
      <c r="D387" s="0"/>
      <c r="E387" s="0"/>
      <c r="F387" s="13"/>
      <c r="G387" s="13"/>
      <c r="H387" s="0"/>
    </row>
    <row r="388" customFormat="false" ht="18.7" hidden="false" customHeight="true" outlineLevel="0" collapsed="false">
      <c r="C388" s="0"/>
      <c r="D388" s="0"/>
      <c r="E388" s="0"/>
      <c r="F388" s="13"/>
      <c r="G388" s="13"/>
      <c r="H388" s="0"/>
    </row>
    <row r="389" customFormat="false" ht="18.7" hidden="false" customHeight="true" outlineLevel="0" collapsed="false">
      <c r="C389" s="0"/>
      <c r="D389" s="0"/>
      <c r="E389" s="0"/>
      <c r="F389" s="13"/>
      <c r="G389" s="13"/>
      <c r="H389" s="0"/>
    </row>
    <row r="390" customFormat="false" ht="18.7" hidden="false" customHeight="true" outlineLevel="0" collapsed="false">
      <c r="C390" s="0"/>
      <c r="D390" s="0"/>
      <c r="E390" s="0"/>
      <c r="F390" s="13"/>
      <c r="G390" s="13"/>
      <c r="H390" s="0"/>
    </row>
    <row r="391" customFormat="false" ht="18.7" hidden="false" customHeight="true" outlineLevel="0" collapsed="false">
      <c r="C391" s="0"/>
      <c r="D391" s="0"/>
      <c r="E391" s="0"/>
      <c r="F391" s="13"/>
      <c r="G391" s="13"/>
      <c r="H391" s="0"/>
    </row>
    <row r="392" customFormat="false" ht="18.7" hidden="false" customHeight="true" outlineLevel="0" collapsed="false">
      <c r="C392" s="0"/>
      <c r="D392" s="0"/>
      <c r="E392" s="0"/>
      <c r="F392" s="13"/>
      <c r="G392" s="13"/>
      <c r="H392" s="0"/>
    </row>
    <row r="393" customFormat="false" ht="18.7" hidden="false" customHeight="true" outlineLevel="0" collapsed="false">
      <c r="C393" s="0"/>
      <c r="D393" s="0"/>
      <c r="E393" s="0"/>
      <c r="F393" s="13"/>
      <c r="G393" s="13"/>
      <c r="H393" s="0"/>
    </row>
    <row r="394" customFormat="false" ht="18.7" hidden="false" customHeight="true" outlineLevel="0" collapsed="false">
      <c r="C394" s="0"/>
      <c r="D394" s="0"/>
      <c r="E394" s="0"/>
      <c r="F394" s="13"/>
      <c r="G394" s="13"/>
      <c r="H394" s="0"/>
    </row>
    <row r="395" customFormat="false" ht="18.7" hidden="false" customHeight="true" outlineLevel="0" collapsed="false">
      <c r="C395" s="0"/>
      <c r="D395" s="0"/>
      <c r="E395" s="0"/>
      <c r="F395" s="13"/>
      <c r="G395" s="13"/>
      <c r="H395" s="0"/>
    </row>
    <row r="396" customFormat="false" ht="18.7" hidden="false" customHeight="true" outlineLevel="0" collapsed="false">
      <c r="C396" s="0"/>
      <c r="D396" s="0"/>
      <c r="E396" s="0"/>
      <c r="F396" s="13"/>
      <c r="G396" s="13"/>
      <c r="H396" s="0"/>
    </row>
    <row r="397" customFormat="false" ht="18.7" hidden="false" customHeight="true" outlineLevel="0" collapsed="false">
      <c r="C397" s="0"/>
      <c r="D397" s="0"/>
      <c r="E397" s="0"/>
      <c r="F397" s="13"/>
      <c r="G397" s="13"/>
      <c r="H397" s="0"/>
    </row>
    <row r="398" customFormat="false" ht="18.7" hidden="false" customHeight="true" outlineLevel="0" collapsed="false">
      <c r="C398" s="0"/>
      <c r="D398" s="0"/>
      <c r="E398" s="0"/>
      <c r="F398" s="13"/>
      <c r="G398" s="13"/>
      <c r="H398" s="0"/>
    </row>
    <row r="399" customFormat="false" ht="18.7" hidden="false" customHeight="true" outlineLevel="0" collapsed="false">
      <c r="C399" s="0"/>
      <c r="D399" s="0"/>
      <c r="E399" s="0"/>
      <c r="F399" s="13"/>
      <c r="G399" s="13"/>
      <c r="H399" s="0"/>
    </row>
    <row r="400" customFormat="false" ht="18.7" hidden="false" customHeight="true" outlineLevel="0" collapsed="false">
      <c r="C400" s="0"/>
      <c r="D400" s="0"/>
      <c r="E400" s="0"/>
      <c r="F400" s="13"/>
      <c r="G400" s="13"/>
      <c r="H400" s="0"/>
    </row>
    <row r="401" customFormat="false" ht="18.7" hidden="false" customHeight="true" outlineLevel="0" collapsed="false">
      <c r="C401" s="0"/>
      <c r="D401" s="0"/>
      <c r="E401" s="0"/>
      <c r="F401" s="13"/>
      <c r="G401" s="13"/>
      <c r="H401" s="0"/>
    </row>
    <row r="402" customFormat="false" ht="18.7" hidden="false" customHeight="true" outlineLevel="0" collapsed="false">
      <c r="C402" s="0"/>
      <c r="D402" s="0"/>
      <c r="E402" s="0"/>
      <c r="F402" s="13"/>
      <c r="G402" s="13"/>
      <c r="H402" s="0"/>
    </row>
    <row r="403" customFormat="false" ht="18.7" hidden="false" customHeight="true" outlineLevel="0" collapsed="false">
      <c r="C403" s="0"/>
      <c r="D403" s="0"/>
      <c r="E403" s="0"/>
      <c r="F403" s="13"/>
      <c r="G403" s="13"/>
      <c r="H403" s="0"/>
    </row>
    <row r="404" customFormat="false" ht="18.7" hidden="false" customHeight="true" outlineLevel="0" collapsed="false">
      <c r="C404" s="0"/>
      <c r="D404" s="0"/>
      <c r="E404" s="0"/>
      <c r="F404" s="13"/>
      <c r="G404" s="13"/>
      <c r="H404" s="0"/>
    </row>
    <row r="405" customFormat="false" ht="18.7" hidden="false" customHeight="true" outlineLevel="0" collapsed="false">
      <c r="C405" s="0"/>
      <c r="D405" s="0"/>
      <c r="E405" s="0"/>
      <c r="F405" s="13"/>
      <c r="G405" s="13"/>
      <c r="H405" s="0"/>
    </row>
    <row r="406" customFormat="false" ht="18.7" hidden="false" customHeight="true" outlineLevel="0" collapsed="false">
      <c r="C406" s="0"/>
      <c r="D406" s="0"/>
      <c r="E406" s="0"/>
      <c r="F406" s="13"/>
      <c r="G406" s="13"/>
      <c r="H406" s="0"/>
    </row>
    <row r="407" customFormat="false" ht="18.7" hidden="false" customHeight="true" outlineLevel="0" collapsed="false">
      <c r="C407" s="0"/>
      <c r="D407" s="0"/>
      <c r="E407" s="0"/>
      <c r="F407" s="13"/>
      <c r="G407" s="13"/>
      <c r="H407" s="0"/>
    </row>
    <row r="408" customFormat="false" ht="18.7" hidden="false" customHeight="true" outlineLevel="0" collapsed="false">
      <c r="C408" s="0"/>
      <c r="D408" s="0"/>
      <c r="E408" s="0"/>
      <c r="F408" s="13"/>
      <c r="G408" s="13"/>
      <c r="H408" s="0"/>
    </row>
    <row r="409" customFormat="false" ht="18.7" hidden="false" customHeight="true" outlineLevel="0" collapsed="false">
      <c r="C409" s="0"/>
      <c r="D409" s="0"/>
      <c r="E409" s="0"/>
      <c r="F409" s="13"/>
      <c r="G409" s="13"/>
      <c r="H409" s="0"/>
    </row>
    <row r="410" customFormat="false" ht="18.7" hidden="false" customHeight="true" outlineLevel="0" collapsed="false">
      <c r="C410" s="0"/>
      <c r="D410" s="0"/>
      <c r="E410" s="0"/>
      <c r="F410" s="13"/>
      <c r="G410" s="13"/>
      <c r="H410" s="0"/>
    </row>
    <row r="411" customFormat="false" ht="18.7" hidden="false" customHeight="true" outlineLevel="0" collapsed="false">
      <c r="C411" s="0"/>
      <c r="D411" s="0"/>
      <c r="E411" s="0"/>
      <c r="F411" s="13"/>
      <c r="G411" s="13"/>
      <c r="H411" s="0"/>
    </row>
    <row r="412" customFormat="false" ht="18.7" hidden="false" customHeight="true" outlineLevel="0" collapsed="false">
      <c r="G412" s="9"/>
    </row>
    <row r="413" customFormat="false" ht="18.7" hidden="false" customHeight="true" outlineLevel="0" collapsed="false">
      <c r="G413" s="9"/>
    </row>
    <row r="414" customFormat="false" ht="18.7" hidden="false" customHeight="true" outlineLevel="0" collapsed="false">
      <c r="G414" s="9"/>
    </row>
    <row r="415" customFormat="false" ht="18.7" hidden="false" customHeight="true" outlineLevel="0" collapsed="false">
      <c r="G415" s="9"/>
    </row>
    <row r="416" customFormat="false" ht="18.7" hidden="false" customHeight="true" outlineLevel="0" collapsed="false">
      <c r="G416" s="9"/>
    </row>
    <row r="417" customFormat="false" ht="18.7" hidden="false" customHeight="true" outlineLevel="0" collapsed="false">
      <c r="G417" s="9"/>
    </row>
    <row r="418" customFormat="false" ht="18.7" hidden="false" customHeight="true" outlineLevel="0" collapsed="false">
      <c r="G418" s="9"/>
    </row>
    <row r="419" customFormat="false" ht="18.7" hidden="false" customHeight="true" outlineLevel="0" collapsed="false">
      <c r="G419" s="9"/>
    </row>
    <row r="420" customFormat="false" ht="18.7" hidden="false" customHeight="true" outlineLevel="0" collapsed="false">
      <c r="G420" s="9"/>
    </row>
    <row r="421" customFormat="false" ht="18.7" hidden="false" customHeight="true" outlineLevel="0" collapsed="false">
      <c r="G421" s="9"/>
    </row>
    <row r="422" customFormat="false" ht="18.7" hidden="false" customHeight="true" outlineLevel="0" collapsed="false">
      <c r="G422" s="9"/>
    </row>
    <row r="423" customFormat="false" ht="18.7" hidden="false" customHeight="true" outlineLevel="0" collapsed="false">
      <c r="G423" s="9"/>
    </row>
    <row r="424" customFormat="false" ht="18.7" hidden="false" customHeight="true" outlineLevel="0" collapsed="false">
      <c r="G424" s="9"/>
    </row>
    <row r="425" customFormat="false" ht="18.7" hidden="false" customHeight="true" outlineLevel="0" collapsed="false">
      <c r="G425" s="9"/>
    </row>
    <row r="426" customFormat="false" ht="18.7" hidden="false" customHeight="true" outlineLevel="0" collapsed="false">
      <c r="G426" s="9"/>
    </row>
    <row r="427" customFormat="false" ht="18.7" hidden="false" customHeight="true" outlineLevel="0" collapsed="false">
      <c r="G427" s="9"/>
    </row>
    <row r="428" customFormat="false" ht="18.7" hidden="false" customHeight="true" outlineLevel="0" collapsed="false">
      <c r="G428" s="9"/>
    </row>
    <row r="429" customFormat="false" ht="18.7" hidden="false" customHeight="true" outlineLevel="0" collapsed="false">
      <c r="G429" s="9"/>
    </row>
    <row r="430" customFormat="false" ht="18.7" hidden="false" customHeight="true" outlineLevel="0" collapsed="false">
      <c r="G430" s="9"/>
    </row>
    <row r="431" customFormat="false" ht="18.7" hidden="false" customHeight="true" outlineLevel="0" collapsed="false">
      <c r="G431" s="9"/>
    </row>
    <row r="432" customFormat="false" ht="18.7" hidden="false" customHeight="true" outlineLevel="0" collapsed="false">
      <c r="G432" s="9"/>
    </row>
    <row r="433" customFormat="false" ht="18.7" hidden="false" customHeight="true" outlineLevel="0" collapsed="false">
      <c r="G433" s="9"/>
    </row>
    <row r="434" customFormat="false" ht="18.7" hidden="false" customHeight="true" outlineLevel="0" collapsed="false">
      <c r="G434" s="9"/>
    </row>
    <row r="435" customFormat="false" ht="18.7" hidden="false" customHeight="true" outlineLevel="0" collapsed="false">
      <c r="G435" s="9"/>
    </row>
    <row r="436" customFormat="false" ht="18.7" hidden="false" customHeight="true" outlineLevel="0" collapsed="false">
      <c r="G436" s="9"/>
    </row>
    <row r="437" customFormat="false" ht="18.7" hidden="false" customHeight="true" outlineLevel="0" collapsed="false">
      <c r="G437" s="9"/>
    </row>
    <row r="438" customFormat="false" ht="18.7" hidden="false" customHeight="true" outlineLevel="0" collapsed="false">
      <c r="G438" s="9"/>
    </row>
    <row r="439" customFormat="false" ht="18.7" hidden="false" customHeight="true" outlineLevel="0" collapsed="false">
      <c r="G439" s="9"/>
    </row>
    <row r="440" customFormat="false" ht="18.7" hidden="false" customHeight="true" outlineLevel="0" collapsed="false">
      <c r="G440" s="9"/>
    </row>
    <row r="441" customFormat="false" ht="18.7" hidden="false" customHeight="true" outlineLevel="0" collapsed="false">
      <c r="G441" s="9"/>
    </row>
    <row r="442" customFormat="false" ht="18.7" hidden="false" customHeight="true" outlineLevel="0" collapsed="false">
      <c r="G442" s="9"/>
    </row>
    <row r="443" customFormat="false" ht="18.7" hidden="false" customHeight="true" outlineLevel="0" collapsed="false">
      <c r="G443" s="9"/>
    </row>
    <row r="444" customFormat="false" ht="18.7" hidden="false" customHeight="true" outlineLevel="0" collapsed="false">
      <c r="G444" s="9"/>
    </row>
    <row r="445" customFormat="false" ht="18.7" hidden="false" customHeight="true" outlineLevel="0" collapsed="false">
      <c r="G445" s="9"/>
    </row>
    <row r="446" customFormat="false" ht="18.7" hidden="false" customHeight="true" outlineLevel="0" collapsed="false">
      <c r="G446" s="9"/>
    </row>
    <row r="447" customFormat="false" ht="18.7" hidden="false" customHeight="true" outlineLevel="0" collapsed="false">
      <c r="G447" s="9"/>
    </row>
    <row r="448" customFormat="false" ht="18.7" hidden="false" customHeight="true" outlineLevel="0" collapsed="false">
      <c r="G448" s="9"/>
    </row>
    <row r="449" customFormat="false" ht="18.7" hidden="false" customHeight="true" outlineLevel="0" collapsed="false">
      <c r="G449" s="9"/>
    </row>
    <row r="450" customFormat="false" ht="18.7" hidden="false" customHeight="true" outlineLevel="0" collapsed="false">
      <c r="G450" s="9"/>
    </row>
    <row r="451" customFormat="false" ht="18.7" hidden="false" customHeight="true" outlineLevel="0" collapsed="false">
      <c r="G451" s="9"/>
    </row>
    <row r="452" customFormat="false" ht="18.7" hidden="false" customHeight="true" outlineLevel="0" collapsed="false">
      <c r="G452" s="9"/>
    </row>
    <row r="453" customFormat="false" ht="18.7" hidden="false" customHeight="true" outlineLevel="0" collapsed="false">
      <c r="G453" s="9"/>
    </row>
    <row r="454" customFormat="false" ht="18.7" hidden="false" customHeight="true" outlineLevel="0" collapsed="false">
      <c r="G454" s="9"/>
    </row>
    <row r="455" customFormat="false" ht="18.7" hidden="false" customHeight="true" outlineLevel="0" collapsed="false">
      <c r="G455" s="9"/>
    </row>
    <row r="456" customFormat="false" ht="18.7" hidden="false" customHeight="true" outlineLevel="0" collapsed="false">
      <c r="G456" s="9"/>
    </row>
    <row r="457" customFormat="false" ht="18.7" hidden="false" customHeight="true" outlineLevel="0" collapsed="false">
      <c r="G457" s="9"/>
    </row>
    <row r="458" customFormat="false" ht="18.7" hidden="false" customHeight="true" outlineLevel="0" collapsed="false">
      <c r="G458" s="9"/>
    </row>
    <row r="459" customFormat="false" ht="18.7" hidden="false" customHeight="true" outlineLevel="0" collapsed="false">
      <c r="G459" s="9"/>
    </row>
    <row r="460" customFormat="false" ht="18.7" hidden="false" customHeight="true" outlineLevel="0" collapsed="false">
      <c r="G460" s="9"/>
    </row>
    <row r="461" customFormat="false" ht="18.7" hidden="false" customHeight="true" outlineLevel="0" collapsed="false">
      <c r="G461" s="9"/>
    </row>
    <row r="462" customFormat="false" ht="18.7" hidden="false" customHeight="true" outlineLevel="0" collapsed="false">
      <c r="G462" s="9"/>
    </row>
    <row r="463" customFormat="false" ht="18.7" hidden="false" customHeight="true" outlineLevel="0" collapsed="false">
      <c r="G463" s="9"/>
    </row>
    <row r="464" customFormat="false" ht="18.7" hidden="false" customHeight="true" outlineLevel="0" collapsed="false">
      <c r="G464" s="9"/>
    </row>
    <row r="465" customFormat="false" ht="18.7" hidden="false" customHeight="true" outlineLevel="0" collapsed="false">
      <c r="G465" s="9"/>
    </row>
    <row r="466" customFormat="false" ht="18.7" hidden="false" customHeight="true" outlineLevel="0" collapsed="false">
      <c r="G466" s="9"/>
    </row>
    <row r="467" customFormat="false" ht="18.7" hidden="false" customHeight="true" outlineLevel="0" collapsed="false">
      <c r="G467" s="9"/>
    </row>
    <row r="468" customFormat="false" ht="18.7" hidden="false" customHeight="true" outlineLevel="0" collapsed="false">
      <c r="G468" s="9"/>
    </row>
    <row r="469" customFormat="false" ht="18.7" hidden="false" customHeight="true" outlineLevel="0" collapsed="false">
      <c r="G469" s="9"/>
    </row>
    <row r="470" customFormat="false" ht="18.7" hidden="false" customHeight="true" outlineLevel="0" collapsed="false">
      <c r="G470" s="9"/>
    </row>
    <row r="471" customFormat="false" ht="18.7" hidden="false" customHeight="true" outlineLevel="0" collapsed="false">
      <c r="G471" s="9"/>
    </row>
    <row r="472" customFormat="false" ht="18.7" hidden="false" customHeight="true" outlineLevel="0" collapsed="false">
      <c r="G472" s="9"/>
    </row>
    <row r="473" customFormat="false" ht="18.7" hidden="false" customHeight="true" outlineLevel="0" collapsed="false">
      <c r="G473" s="9"/>
    </row>
    <row r="474" customFormat="false" ht="18.7" hidden="false" customHeight="true" outlineLevel="0" collapsed="false">
      <c r="G474" s="9"/>
    </row>
    <row r="475" customFormat="false" ht="18.7" hidden="false" customHeight="true" outlineLevel="0" collapsed="false">
      <c r="G475" s="9"/>
    </row>
    <row r="476" customFormat="false" ht="18.7" hidden="false" customHeight="true" outlineLevel="0" collapsed="false">
      <c r="G476" s="9"/>
    </row>
    <row r="477" customFormat="false" ht="18.7" hidden="false" customHeight="true" outlineLevel="0" collapsed="false">
      <c r="G477" s="9"/>
    </row>
    <row r="478" customFormat="false" ht="18.7" hidden="false" customHeight="true" outlineLevel="0" collapsed="false">
      <c r="G478" s="9"/>
    </row>
    <row r="479" customFormat="false" ht="18.7" hidden="false" customHeight="true" outlineLevel="0" collapsed="false">
      <c r="G479" s="9"/>
    </row>
    <row r="480" customFormat="false" ht="18.7" hidden="false" customHeight="true" outlineLevel="0" collapsed="false">
      <c r="G480" s="9"/>
    </row>
    <row r="481" customFormat="false" ht="18.7" hidden="false" customHeight="true" outlineLevel="0" collapsed="false">
      <c r="G481" s="9"/>
    </row>
    <row r="482" customFormat="false" ht="18.7" hidden="false" customHeight="true" outlineLevel="0" collapsed="false">
      <c r="G482" s="9"/>
    </row>
    <row r="483" customFormat="false" ht="18.7" hidden="false" customHeight="true" outlineLevel="0" collapsed="false">
      <c r="G483" s="9"/>
    </row>
    <row r="484" customFormat="false" ht="18.7" hidden="false" customHeight="true" outlineLevel="0" collapsed="false">
      <c r="G484" s="9"/>
    </row>
    <row r="485" customFormat="false" ht="18.7" hidden="false" customHeight="true" outlineLevel="0" collapsed="false">
      <c r="G485" s="9"/>
    </row>
    <row r="486" customFormat="false" ht="18.7" hidden="false" customHeight="true" outlineLevel="0" collapsed="false">
      <c r="G486" s="9"/>
    </row>
    <row r="487" customFormat="false" ht="18.7" hidden="false" customHeight="true" outlineLevel="0" collapsed="false">
      <c r="G487" s="9"/>
    </row>
    <row r="488" customFormat="false" ht="18.7" hidden="false" customHeight="true" outlineLevel="0" collapsed="false">
      <c r="G488" s="9"/>
    </row>
    <row r="489" customFormat="false" ht="18.7" hidden="false" customHeight="true" outlineLevel="0" collapsed="false">
      <c r="G489" s="9"/>
    </row>
    <row r="490" customFormat="false" ht="18.7" hidden="false" customHeight="true" outlineLevel="0" collapsed="false">
      <c r="G490" s="9"/>
    </row>
    <row r="491" customFormat="false" ht="18.7" hidden="false" customHeight="true" outlineLevel="0" collapsed="false">
      <c r="G491" s="9"/>
    </row>
    <row r="492" customFormat="false" ht="18.7" hidden="false" customHeight="true" outlineLevel="0" collapsed="false">
      <c r="G492" s="9"/>
    </row>
    <row r="493" customFormat="false" ht="18.7" hidden="false" customHeight="true" outlineLevel="0" collapsed="false">
      <c r="G493" s="9"/>
    </row>
    <row r="494" customFormat="false" ht="18.7" hidden="false" customHeight="true" outlineLevel="0" collapsed="false">
      <c r="G494" s="9"/>
    </row>
    <row r="495" customFormat="false" ht="18.7" hidden="false" customHeight="true" outlineLevel="0" collapsed="false">
      <c r="G495" s="9"/>
    </row>
    <row r="496" customFormat="false" ht="18.7" hidden="false" customHeight="true" outlineLevel="0" collapsed="false">
      <c r="G496" s="9"/>
    </row>
    <row r="497" customFormat="false" ht="18.7" hidden="false" customHeight="true" outlineLevel="0" collapsed="false">
      <c r="G497" s="9"/>
    </row>
    <row r="498" customFormat="false" ht="18.7" hidden="false" customHeight="true" outlineLevel="0" collapsed="false">
      <c r="G498" s="9"/>
    </row>
    <row r="499" customFormat="false" ht="18.7" hidden="false" customHeight="true" outlineLevel="0" collapsed="false">
      <c r="G499" s="9"/>
    </row>
    <row r="500" customFormat="false" ht="18.7" hidden="false" customHeight="true" outlineLevel="0" collapsed="false">
      <c r="G500" s="9"/>
    </row>
    <row r="501" customFormat="false" ht="18.7" hidden="false" customHeight="true" outlineLevel="0" collapsed="false">
      <c r="G501" s="9"/>
    </row>
    <row r="502" customFormat="false" ht="18.7" hidden="false" customHeight="true" outlineLevel="0" collapsed="false">
      <c r="G502" s="9"/>
    </row>
    <row r="503" customFormat="false" ht="18.7" hidden="false" customHeight="true" outlineLevel="0" collapsed="false">
      <c r="G503" s="9"/>
    </row>
    <row r="504" customFormat="false" ht="18.7" hidden="false" customHeight="true" outlineLevel="0" collapsed="false">
      <c r="G504" s="9"/>
    </row>
    <row r="505" customFormat="false" ht="18.7" hidden="false" customHeight="true" outlineLevel="0" collapsed="false">
      <c r="G505" s="9"/>
    </row>
    <row r="506" customFormat="false" ht="18.7" hidden="false" customHeight="true" outlineLevel="0" collapsed="false">
      <c r="G506" s="9"/>
    </row>
    <row r="507" customFormat="false" ht="18.7" hidden="false" customHeight="true" outlineLevel="0" collapsed="false">
      <c r="G507" s="9"/>
    </row>
    <row r="508" customFormat="false" ht="18.7" hidden="false" customHeight="true" outlineLevel="0" collapsed="false">
      <c r="G508" s="9"/>
    </row>
    <row r="509" customFormat="false" ht="18.7" hidden="false" customHeight="true" outlineLevel="0" collapsed="false">
      <c r="G509" s="9"/>
    </row>
    <row r="510" customFormat="false" ht="18.7" hidden="false" customHeight="true" outlineLevel="0" collapsed="false">
      <c r="G510" s="9"/>
    </row>
    <row r="511" customFormat="false" ht="18.7" hidden="false" customHeight="true" outlineLevel="0" collapsed="false">
      <c r="G511" s="9"/>
    </row>
    <row r="512" customFormat="false" ht="18.7" hidden="false" customHeight="true" outlineLevel="0" collapsed="false">
      <c r="G512" s="9"/>
    </row>
    <row r="513" customFormat="false" ht="18.7" hidden="false" customHeight="true" outlineLevel="0" collapsed="false">
      <c r="G513" s="9"/>
    </row>
    <row r="514" customFormat="false" ht="18.7" hidden="false" customHeight="true" outlineLevel="0" collapsed="false">
      <c r="G514" s="9"/>
    </row>
    <row r="515" customFormat="false" ht="18.7" hidden="false" customHeight="true" outlineLevel="0" collapsed="false">
      <c r="G515" s="9"/>
    </row>
    <row r="516" customFormat="false" ht="18.7" hidden="false" customHeight="true" outlineLevel="0" collapsed="false">
      <c r="G516" s="9"/>
    </row>
    <row r="517" customFormat="false" ht="18.7" hidden="false" customHeight="true" outlineLevel="0" collapsed="false">
      <c r="G517" s="9"/>
    </row>
    <row r="518" customFormat="false" ht="18.7" hidden="false" customHeight="true" outlineLevel="0" collapsed="false">
      <c r="G518" s="9"/>
    </row>
    <row r="519" customFormat="false" ht="18.7" hidden="false" customHeight="true" outlineLevel="0" collapsed="false">
      <c r="G519" s="9"/>
    </row>
    <row r="520" customFormat="false" ht="18.7" hidden="false" customHeight="true" outlineLevel="0" collapsed="false">
      <c r="G520" s="9"/>
    </row>
    <row r="521" customFormat="false" ht="18.7" hidden="false" customHeight="true" outlineLevel="0" collapsed="false">
      <c r="G521" s="9"/>
    </row>
    <row r="522" customFormat="false" ht="18.7" hidden="false" customHeight="true" outlineLevel="0" collapsed="false">
      <c r="G522" s="9"/>
    </row>
    <row r="523" customFormat="false" ht="18.7" hidden="false" customHeight="true" outlineLevel="0" collapsed="false">
      <c r="G523" s="9"/>
    </row>
    <row r="524" customFormat="false" ht="18.7" hidden="false" customHeight="true" outlineLevel="0" collapsed="false">
      <c r="G524" s="9"/>
    </row>
    <row r="525" customFormat="false" ht="18.7" hidden="false" customHeight="true" outlineLevel="0" collapsed="false">
      <c r="G525" s="9"/>
    </row>
    <row r="526" customFormat="false" ht="18.7" hidden="false" customHeight="true" outlineLevel="0" collapsed="false">
      <c r="G526" s="9"/>
    </row>
    <row r="527" customFormat="false" ht="18.7" hidden="false" customHeight="true" outlineLevel="0" collapsed="false">
      <c r="G527" s="9"/>
    </row>
    <row r="528" customFormat="false" ht="18.7" hidden="false" customHeight="true" outlineLevel="0" collapsed="false">
      <c r="G528" s="9"/>
    </row>
    <row r="529" customFormat="false" ht="18.7" hidden="false" customHeight="true" outlineLevel="0" collapsed="false">
      <c r="G529" s="9"/>
    </row>
    <row r="530" customFormat="false" ht="18.7" hidden="false" customHeight="true" outlineLevel="0" collapsed="false">
      <c r="G530" s="9"/>
    </row>
    <row r="531" customFormat="false" ht="18.7" hidden="false" customHeight="true" outlineLevel="0" collapsed="false">
      <c r="G531" s="9"/>
    </row>
    <row r="532" customFormat="false" ht="18.7" hidden="false" customHeight="true" outlineLevel="0" collapsed="false">
      <c r="G532" s="9"/>
    </row>
    <row r="533" customFormat="false" ht="18.7" hidden="false" customHeight="true" outlineLevel="0" collapsed="false">
      <c r="G533" s="9"/>
    </row>
    <row r="534" customFormat="false" ht="18.7" hidden="false" customHeight="true" outlineLevel="0" collapsed="false">
      <c r="G534" s="9"/>
    </row>
    <row r="535" customFormat="false" ht="18.7" hidden="false" customHeight="true" outlineLevel="0" collapsed="false">
      <c r="G535" s="9"/>
    </row>
    <row r="536" customFormat="false" ht="18.7" hidden="false" customHeight="true" outlineLevel="0" collapsed="false">
      <c r="G536" s="9"/>
    </row>
    <row r="537" customFormat="false" ht="18.7" hidden="false" customHeight="true" outlineLevel="0" collapsed="false">
      <c r="G537" s="9"/>
    </row>
    <row r="538" customFormat="false" ht="18.7" hidden="false" customHeight="true" outlineLevel="0" collapsed="false">
      <c r="G538" s="9"/>
    </row>
    <row r="539" customFormat="false" ht="18.7" hidden="false" customHeight="true" outlineLevel="0" collapsed="false">
      <c r="G539" s="9"/>
    </row>
    <row r="540" customFormat="false" ht="18.7" hidden="false" customHeight="true" outlineLevel="0" collapsed="false">
      <c r="G540" s="9"/>
    </row>
    <row r="541" customFormat="false" ht="18.7" hidden="false" customHeight="true" outlineLevel="0" collapsed="false">
      <c r="G541" s="9"/>
    </row>
    <row r="542" customFormat="false" ht="18.7" hidden="false" customHeight="true" outlineLevel="0" collapsed="false">
      <c r="G542" s="9"/>
    </row>
    <row r="543" customFormat="false" ht="18.7" hidden="false" customHeight="true" outlineLevel="0" collapsed="false">
      <c r="G543" s="9"/>
    </row>
    <row r="544" customFormat="false" ht="18.7" hidden="false" customHeight="true" outlineLevel="0" collapsed="false">
      <c r="G544" s="9"/>
    </row>
    <row r="545" customFormat="false" ht="18.7" hidden="false" customHeight="true" outlineLevel="0" collapsed="false">
      <c r="G545" s="9"/>
    </row>
    <row r="546" customFormat="false" ht="18.7" hidden="false" customHeight="true" outlineLevel="0" collapsed="false">
      <c r="G546" s="9"/>
    </row>
    <row r="547" customFormat="false" ht="18.7" hidden="false" customHeight="true" outlineLevel="0" collapsed="false">
      <c r="G547" s="9"/>
    </row>
    <row r="548" customFormat="false" ht="18.7" hidden="false" customHeight="true" outlineLevel="0" collapsed="false">
      <c r="G548" s="9"/>
    </row>
    <row r="549" customFormat="false" ht="18.7" hidden="false" customHeight="true" outlineLevel="0" collapsed="false">
      <c r="G549" s="9"/>
    </row>
    <row r="550" customFormat="false" ht="18.7" hidden="false" customHeight="true" outlineLevel="0" collapsed="false">
      <c r="G550" s="9"/>
    </row>
    <row r="551" customFormat="false" ht="18.7" hidden="false" customHeight="true" outlineLevel="0" collapsed="false">
      <c r="G551" s="9"/>
    </row>
    <row r="552" customFormat="false" ht="18.7" hidden="false" customHeight="true" outlineLevel="0" collapsed="false">
      <c r="G552" s="9"/>
    </row>
    <row r="553" customFormat="false" ht="18.7" hidden="false" customHeight="true" outlineLevel="0" collapsed="false">
      <c r="G553" s="9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10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4" activeCellId="0" sqref="F14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3" width="9.72"/>
    <col collapsed="false" customWidth="true" hidden="false" outlineLevel="0" max="2" min="2" style="2" width="16.81"/>
    <col collapsed="false" customWidth="true" hidden="false" outlineLevel="0" max="3" min="3" style="3" width="21.38"/>
    <col collapsed="false" customWidth="true" hidden="false" outlineLevel="0" max="4" min="4" style="3" width="39.32"/>
    <col collapsed="false" customWidth="true" hidden="false" outlineLevel="0" max="5" min="5" style="3" width="121.43"/>
    <col collapsed="false" customWidth="true" hidden="false" outlineLevel="0" max="6" min="6" style="3" width="62.11"/>
    <col collapsed="false" customWidth="true" hidden="false" outlineLevel="0" max="7" min="7" style="1" width="31.1"/>
    <col collapsed="false" customWidth="true" hidden="false" outlineLevel="0" max="8" min="8" style="1" width="20.73"/>
    <col collapsed="false" customWidth="true" hidden="false" outlineLevel="0" max="9" min="9" style="1" width="35.42"/>
    <col collapsed="false" customWidth="true" hidden="false" outlineLevel="0" max="10" min="10" style="3" width="28.76"/>
    <col collapsed="false" customWidth="true" hidden="false" outlineLevel="0" max="11" min="11" style="3" width="57.94"/>
    <col collapsed="false" customWidth="true" hidden="false" outlineLevel="0" max="13" min="12" style="1" width="16.2"/>
    <col collapsed="false" customWidth="true" hidden="false" outlineLevel="0" max="14" min="14" style="3" width="14.26"/>
    <col collapsed="false" customWidth="true" hidden="false" outlineLevel="0" max="15" min="15" style="3" width="19.04"/>
    <col collapsed="false" customWidth="true" hidden="false" outlineLevel="0" max="16" min="16" style="3" width="14.31"/>
    <col collapsed="false" customWidth="true" hidden="false" outlineLevel="0" max="17" min="17" style="1" width="19.44"/>
    <col collapsed="false" customWidth="true" hidden="false" outlineLevel="0" max="18" min="18" style="3" width="27.73"/>
    <col collapsed="false" customWidth="false" hidden="false" outlineLevel="0" max="1014" min="19" style="4" width="11.52"/>
  </cols>
  <sheetData>
    <row r="1" customFormat="false" ht="23.05" hidden="false" customHeight="true" outlineLevel="0" collapsed="false">
      <c r="A1" s="5" t="s">
        <v>0</v>
      </c>
      <c r="B1" s="12" t="s">
        <v>1</v>
      </c>
      <c r="C1" s="5" t="s">
        <v>2</v>
      </c>
      <c r="D1" s="5" t="s">
        <v>3</v>
      </c>
      <c r="E1" s="5" t="s">
        <v>4</v>
      </c>
      <c r="F1" s="5" t="s">
        <v>1266</v>
      </c>
      <c r="G1" s="5" t="s">
        <v>1267</v>
      </c>
      <c r="H1" s="5" t="s">
        <v>1029</v>
      </c>
      <c r="I1" s="5" t="s">
        <v>1268</v>
      </c>
      <c r="J1" s="5" t="s">
        <v>1269</v>
      </c>
      <c r="K1" s="5" t="s">
        <v>1270</v>
      </c>
      <c r="L1" s="5" t="s">
        <v>1271</v>
      </c>
      <c r="M1" s="5" t="s">
        <v>1272</v>
      </c>
      <c r="N1" s="5" t="s">
        <v>1273</v>
      </c>
      <c r="O1" s="5" t="s">
        <v>1274</v>
      </c>
      <c r="P1" s="5" t="s">
        <v>1275</v>
      </c>
      <c r="Q1" s="5" t="s">
        <v>1276</v>
      </c>
      <c r="R1" s="5" t="s">
        <v>1277</v>
      </c>
    </row>
    <row r="2" customFormat="false" ht="18.7" hidden="false" customHeight="true" outlineLevel="0" collapsed="false">
      <c r="A2" s="1" t="n">
        <v>1</v>
      </c>
      <c r="B2" s="7" t="str">
        <f aca="false">HYPERLINK("https://mncourtfraud.com/file/SAF.zip","SAF.zip")</f>
        <v>SAF.zip</v>
      </c>
      <c r="C2" s="8" t="str">
        <f aca="false">HYPERLINK("https://mncourtfraud.com/file/27-CR-18-19274.pdf","27-CR-18-19274")</f>
        <v>27-CR-18-19274</v>
      </c>
      <c r="D2" s="3" t="s">
        <v>1278</v>
      </c>
      <c r="E2" s="8" t="str">
        <f aca="false">HYPERLINK("https://mncourtfraud.com/file/MCRO_27-CR-18-19274_Order-Other_2018-08-28_20240430093110.pdf","MCRO_27-CR-18-19274_Order-Other_2018-08-28_20240430093110.pdf")</f>
        <v>MCRO_27-CR-18-19274_Order-Other_2018-08-28_20240430093110.pdf</v>
      </c>
      <c r="F2" s="3" t="s">
        <v>1279</v>
      </c>
      <c r="G2" s="1" t="s">
        <v>1280</v>
      </c>
      <c r="H2" s="9" t="n">
        <v>43340</v>
      </c>
      <c r="I2" s="1" t="n">
        <v>0</v>
      </c>
      <c r="J2" s="3" t="s">
        <v>344</v>
      </c>
      <c r="K2" s="3" t="s">
        <v>1281</v>
      </c>
      <c r="L2" s="1" t="n">
        <v>5</v>
      </c>
      <c r="M2" s="1" t="n">
        <v>1</v>
      </c>
      <c r="N2" s="3" t="s">
        <v>1282</v>
      </c>
      <c r="O2" s="3" t="n">
        <v>85268</v>
      </c>
      <c r="P2" s="3" t="n">
        <v>36.04</v>
      </c>
      <c r="Q2" s="1" t="s">
        <v>1283</v>
      </c>
      <c r="R2" s="3" t="s">
        <v>1284</v>
      </c>
    </row>
    <row r="3" customFormat="false" ht="18.7" hidden="false" customHeight="true" outlineLevel="0" collapsed="false">
      <c r="A3" s="1" t="n">
        <v>2</v>
      </c>
      <c r="B3" s="7" t="str">
        <f aca="false">HYPERLINK("https://mncourtfraud.com/file/SAF.zip","SAF.zip")</f>
        <v>SAF.zip</v>
      </c>
      <c r="C3" s="8" t="str">
        <f aca="false">HYPERLINK("https://mncourtfraud.com/file/27-CR-18-19274.pdf","27-CR-18-19274")</f>
        <v>27-CR-18-19274</v>
      </c>
      <c r="D3" s="3" t="s">
        <v>1278</v>
      </c>
      <c r="E3" s="8" t="str">
        <f aca="false">HYPERLINK("https://mncourtfraud.com/file/MCRO_27-CR-18-19274_Order-Other_2018-08-28_20240430093110.pdf","MCRO_27-CR-18-19274_Order-Other_2018-08-28_20240430093110.pdf")</f>
        <v>MCRO_27-CR-18-19274_Order-Other_2018-08-28_20240430093110.pdf</v>
      </c>
      <c r="F3" s="3" t="s">
        <v>1279</v>
      </c>
      <c r="G3" s="1" t="s">
        <v>1285</v>
      </c>
      <c r="H3" s="9" t="n">
        <v>43340</v>
      </c>
      <c r="I3" s="1" t="n">
        <v>1</v>
      </c>
      <c r="J3" s="3" t="s">
        <v>1286</v>
      </c>
      <c r="K3" s="3" t="s">
        <v>1287</v>
      </c>
      <c r="L3" s="1" t="n">
        <v>5</v>
      </c>
      <c r="M3" s="1" t="n">
        <v>2</v>
      </c>
      <c r="N3" s="3" t="s">
        <v>1288</v>
      </c>
      <c r="O3" s="3" t="n">
        <v>127972</v>
      </c>
      <c r="P3" s="3" t="n">
        <v>54.09</v>
      </c>
      <c r="Q3" s="1" t="s">
        <v>1283</v>
      </c>
      <c r="R3" s="3" t="s">
        <v>1289</v>
      </c>
    </row>
    <row r="4" customFormat="false" ht="18.7" hidden="false" customHeight="true" outlineLevel="0" collapsed="false">
      <c r="A4" s="1" t="n">
        <v>3</v>
      </c>
      <c r="B4" s="7" t="str">
        <f aca="false">HYPERLINK("https://mncourtfraud.com/file/SAF.zip","SAF.zip")</f>
        <v>SAF.zip</v>
      </c>
      <c r="C4" s="8" t="str">
        <f aca="false">HYPERLINK("https://mncourtfraud.com/file/27-CR-18-19274.pdf","27-CR-18-19274")</f>
        <v>27-CR-18-19274</v>
      </c>
      <c r="D4" s="3" t="s">
        <v>1278</v>
      </c>
      <c r="E4" s="8" t="str">
        <f aca="false">HYPERLINK("https://mncourtfraud.com/file/MCRO_27-CR-18-19274_Order-Other_2018-08-28_20240430093110.pdf","MCRO_27-CR-18-19274_Order-Other_2018-08-28_20240430093110.pdf")</f>
        <v>MCRO_27-CR-18-19274_Order-Other_2018-08-28_20240430093110.pdf</v>
      </c>
      <c r="F4" s="3" t="s">
        <v>1279</v>
      </c>
      <c r="G4" s="1" t="s">
        <v>1285</v>
      </c>
      <c r="H4" s="9" t="n">
        <v>43340</v>
      </c>
      <c r="I4" s="1" t="n">
        <v>1</v>
      </c>
      <c r="J4" s="3" t="s">
        <v>1286</v>
      </c>
      <c r="K4" s="3" t="s">
        <v>1287</v>
      </c>
      <c r="L4" s="1" t="n">
        <v>5</v>
      </c>
      <c r="M4" s="1" t="n">
        <v>3</v>
      </c>
      <c r="N4" s="3" t="s">
        <v>1288</v>
      </c>
      <c r="O4" s="3" t="n">
        <v>127972</v>
      </c>
      <c r="P4" s="3" t="n">
        <v>54.09</v>
      </c>
      <c r="Q4" s="1" t="s">
        <v>1283</v>
      </c>
      <c r="R4" s="3" t="s">
        <v>1289</v>
      </c>
    </row>
    <row r="5" customFormat="false" ht="18.7" hidden="false" customHeight="true" outlineLevel="0" collapsed="false">
      <c r="A5" s="1" t="n">
        <v>4</v>
      </c>
      <c r="B5" s="7" t="str">
        <f aca="false">HYPERLINK("https://mncourtfraud.com/file/SAF.zip","SAF.zip")</f>
        <v>SAF.zip</v>
      </c>
      <c r="C5" s="8" t="str">
        <f aca="false">HYPERLINK("https://mncourtfraud.com/file/27-CR-18-19274.pdf","27-CR-18-19274")</f>
        <v>27-CR-18-19274</v>
      </c>
      <c r="D5" s="3" t="s">
        <v>1278</v>
      </c>
      <c r="E5" s="8" t="str">
        <f aca="false">HYPERLINK("https://mncourtfraud.com/file/MCRO_27-CR-18-19274_Order-Other_2018-08-28_20240430093110.pdf","MCRO_27-CR-18-19274_Order-Other_2018-08-28_20240430093110.pdf")</f>
        <v>MCRO_27-CR-18-19274_Order-Other_2018-08-28_20240430093110.pdf</v>
      </c>
      <c r="F5" s="3" t="s">
        <v>1279</v>
      </c>
      <c r="G5" s="1" t="s">
        <v>1285</v>
      </c>
      <c r="H5" s="9" t="n">
        <v>43340</v>
      </c>
      <c r="I5" s="1" t="n">
        <v>1</v>
      </c>
      <c r="J5" s="3" t="s">
        <v>1286</v>
      </c>
      <c r="K5" s="3" t="s">
        <v>1287</v>
      </c>
      <c r="L5" s="1" t="n">
        <v>5</v>
      </c>
      <c r="M5" s="1" t="n">
        <v>4</v>
      </c>
      <c r="N5" s="3" t="s">
        <v>1288</v>
      </c>
      <c r="O5" s="3" t="n">
        <v>127972</v>
      </c>
      <c r="P5" s="3" t="n">
        <v>54.09</v>
      </c>
      <c r="Q5" s="1" t="s">
        <v>1283</v>
      </c>
      <c r="R5" s="3" t="s">
        <v>1289</v>
      </c>
    </row>
    <row r="6" customFormat="false" ht="18.7" hidden="false" customHeight="true" outlineLevel="0" collapsed="false">
      <c r="A6" s="1" t="n">
        <v>5</v>
      </c>
      <c r="B6" s="7" t="str">
        <f aca="false">HYPERLINK("https://mncourtfraud.com/file/SAF.zip","SAF.zip")</f>
        <v>SAF.zip</v>
      </c>
      <c r="C6" s="8" t="str">
        <f aca="false">HYPERLINK("https://mncourtfraud.com/file/27-CR-18-19274.pdf","27-CR-18-19274")</f>
        <v>27-CR-18-19274</v>
      </c>
      <c r="D6" s="3" t="s">
        <v>1278</v>
      </c>
      <c r="E6" s="8" t="str">
        <f aca="false">HYPERLINK("https://mncourtfraud.com/file/MCRO_27-CR-18-19274_Order-Other_2018-08-28_20240430093110.pdf","MCRO_27-CR-18-19274_Order-Other_2018-08-28_20240430093110.pdf")</f>
        <v>MCRO_27-CR-18-19274_Order-Other_2018-08-28_20240430093110.pdf</v>
      </c>
      <c r="F6" s="3" t="s">
        <v>1279</v>
      </c>
      <c r="G6" s="1" t="s">
        <v>1290</v>
      </c>
      <c r="H6" s="9" t="n">
        <v>43340</v>
      </c>
      <c r="J6" s="3" t="s">
        <v>1291</v>
      </c>
      <c r="K6" s="3" t="s">
        <v>1292</v>
      </c>
      <c r="L6" s="1" t="n">
        <v>5</v>
      </c>
      <c r="M6" s="1" t="n">
        <v>5</v>
      </c>
      <c r="N6" s="3" t="s">
        <v>1293</v>
      </c>
      <c r="O6" s="3" t="n">
        <v>220196</v>
      </c>
      <c r="P6" s="3" t="n">
        <v>93.07</v>
      </c>
      <c r="Q6" s="1" t="s">
        <v>1294</v>
      </c>
      <c r="R6" s="3" t="s">
        <v>1284</v>
      </c>
    </row>
    <row r="7" customFormat="false" ht="18.7" hidden="false" customHeight="true" outlineLevel="0" collapsed="false">
      <c r="A7" s="1" t="n">
        <v>6</v>
      </c>
      <c r="H7" s="9"/>
    </row>
    <row r="8" customFormat="false" ht="18.7" hidden="false" customHeight="true" outlineLevel="0" collapsed="false">
      <c r="A8" s="1" t="n">
        <v>7</v>
      </c>
      <c r="B8" s="7" t="str">
        <f aca="false">HYPERLINK("https://mncourtfraud.com/file/SAF.zip","SAF.zip")</f>
        <v>SAF.zip</v>
      </c>
      <c r="C8" s="8" t="str">
        <f aca="false">HYPERLINK("https://mncourtfraud.com/file/27-CR-19-12466.pdf","27-CR-19-12466")</f>
        <v>27-CR-19-12466</v>
      </c>
      <c r="D8" s="3" t="s">
        <v>334</v>
      </c>
      <c r="E8" s="8" t="str">
        <f aca="false">HYPERLINK("https://mncourtfraud.com/file/MCRO_27-CR-19-12466_Order-Other_2019-07-31_20240430091856.pdf","MCRO_27-CR-19-12466_Order-Other_2019-07-31_20240430091856.pdf")</f>
        <v>MCRO_27-CR-19-12466_Order-Other_2019-07-31_20240430091856.pdf</v>
      </c>
      <c r="F8" s="3" t="s">
        <v>1279</v>
      </c>
      <c r="G8" s="1" t="s">
        <v>1295</v>
      </c>
      <c r="H8" s="9" t="n">
        <v>43677</v>
      </c>
      <c r="I8" s="1" t="n">
        <v>0</v>
      </c>
      <c r="J8" s="3" t="s">
        <v>344</v>
      </c>
      <c r="K8" s="3" t="s">
        <v>1281</v>
      </c>
      <c r="L8" s="1" t="n">
        <v>5</v>
      </c>
      <c r="M8" s="1" t="n">
        <v>1</v>
      </c>
      <c r="N8" s="3" t="s">
        <v>1296</v>
      </c>
      <c r="O8" s="3" t="n">
        <v>145695</v>
      </c>
      <c r="P8" s="3" t="n">
        <v>42.64</v>
      </c>
      <c r="Q8" s="1" t="s">
        <v>1283</v>
      </c>
      <c r="R8" s="3" t="s">
        <v>1284</v>
      </c>
    </row>
    <row r="9" customFormat="false" ht="18.7" hidden="false" customHeight="true" outlineLevel="0" collapsed="false">
      <c r="A9" s="1" t="n">
        <v>8</v>
      </c>
      <c r="B9" s="7" t="str">
        <f aca="false">HYPERLINK("https://mncourtfraud.com/file/SAF.zip","SAF.zip")</f>
        <v>SAF.zip</v>
      </c>
      <c r="C9" s="8" t="str">
        <f aca="false">HYPERLINK("https://mncourtfraud.com/file/27-CR-19-12466.pdf","27-CR-19-12466")</f>
        <v>27-CR-19-12466</v>
      </c>
      <c r="D9" s="3" t="s">
        <v>334</v>
      </c>
      <c r="E9" s="8" t="str">
        <f aca="false">HYPERLINK("https://mncourtfraud.com/file/MCRO_27-CR-19-12466_Order-Other_2019-07-31_20240430091856.pdf","MCRO_27-CR-19-12466_Order-Other_2019-07-31_20240430091856.pdf")</f>
        <v>MCRO_27-CR-19-12466_Order-Other_2019-07-31_20240430091856.pdf</v>
      </c>
      <c r="F9" s="3" t="s">
        <v>1279</v>
      </c>
      <c r="G9" s="1" t="s">
        <v>1297</v>
      </c>
      <c r="H9" s="9" t="n">
        <v>43677</v>
      </c>
      <c r="I9" s="1" t="n">
        <v>1</v>
      </c>
      <c r="J9" s="3" t="s">
        <v>1286</v>
      </c>
      <c r="K9" s="3" t="s">
        <v>1298</v>
      </c>
      <c r="L9" s="1" t="n">
        <v>5</v>
      </c>
      <c r="M9" s="1" t="n">
        <v>2</v>
      </c>
      <c r="N9" s="3" t="s">
        <v>1299</v>
      </c>
      <c r="O9" s="3" t="n">
        <v>189476</v>
      </c>
      <c r="P9" s="3" t="n">
        <v>55.45</v>
      </c>
      <c r="Q9" s="1" t="s">
        <v>1283</v>
      </c>
      <c r="R9" s="3" t="s">
        <v>1289</v>
      </c>
    </row>
    <row r="10" customFormat="false" ht="18.7" hidden="false" customHeight="true" outlineLevel="0" collapsed="false">
      <c r="A10" s="1" t="n">
        <v>9</v>
      </c>
      <c r="B10" s="7" t="str">
        <f aca="false">HYPERLINK("https://mncourtfraud.com/file/SAF.zip","SAF.zip")</f>
        <v>SAF.zip</v>
      </c>
      <c r="C10" s="8" t="str">
        <f aca="false">HYPERLINK("https://mncourtfraud.com/file/27-CR-19-12466.pdf","27-CR-19-12466")</f>
        <v>27-CR-19-12466</v>
      </c>
      <c r="D10" s="3" t="s">
        <v>334</v>
      </c>
      <c r="E10" s="8" t="str">
        <f aca="false">HYPERLINK("https://mncourtfraud.com/file/MCRO_27-CR-19-12466_Order-Other_2019-07-31_20240430091856.pdf","MCRO_27-CR-19-12466_Order-Other_2019-07-31_20240430091856.pdf")</f>
        <v>MCRO_27-CR-19-12466_Order-Other_2019-07-31_20240430091856.pdf</v>
      </c>
      <c r="F10" s="3" t="s">
        <v>1279</v>
      </c>
      <c r="G10" s="1" t="s">
        <v>1297</v>
      </c>
      <c r="H10" s="9" t="n">
        <v>43677</v>
      </c>
      <c r="I10" s="1" t="n">
        <v>1</v>
      </c>
      <c r="J10" s="3" t="s">
        <v>1286</v>
      </c>
      <c r="K10" s="3" t="s">
        <v>1298</v>
      </c>
      <c r="L10" s="1" t="n">
        <v>5</v>
      </c>
      <c r="M10" s="1" t="n">
        <v>3</v>
      </c>
      <c r="N10" s="3" t="s">
        <v>1299</v>
      </c>
      <c r="O10" s="3" t="n">
        <v>189476</v>
      </c>
      <c r="P10" s="3" t="n">
        <v>55.45</v>
      </c>
      <c r="Q10" s="1" t="s">
        <v>1283</v>
      </c>
      <c r="R10" s="3" t="s">
        <v>1289</v>
      </c>
    </row>
    <row r="11" customFormat="false" ht="18.7" hidden="false" customHeight="true" outlineLevel="0" collapsed="false">
      <c r="A11" s="1" t="n">
        <v>10</v>
      </c>
      <c r="B11" s="7" t="str">
        <f aca="false">HYPERLINK("https://mncourtfraud.com/file/SAF.zip","SAF.zip")</f>
        <v>SAF.zip</v>
      </c>
      <c r="C11" s="8" t="str">
        <f aca="false">HYPERLINK("https://mncourtfraud.com/file/27-CR-19-12466.pdf","27-CR-19-12466")</f>
        <v>27-CR-19-12466</v>
      </c>
      <c r="D11" s="3" t="s">
        <v>334</v>
      </c>
      <c r="E11" s="8" t="str">
        <f aca="false">HYPERLINK("https://mncourtfraud.com/file/MCRO_27-CR-19-12466_Order-Other_2019-07-31_20240430091856.pdf","MCRO_27-CR-19-12466_Order-Other_2019-07-31_20240430091856.pdf")</f>
        <v>MCRO_27-CR-19-12466_Order-Other_2019-07-31_20240430091856.pdf</v>
      </c>
      <c r="F11" s="3" t="s">
        <v>1279</v>
      </c>
      <c r="G11" s="1" t="s">
        <v>1297</v>
      </c>
      <c r="H11" s="9" t="n">
        <v>43677</v>
      </c>
      <c r="I11" s="1" t="n">
        <v>1</v>
      </c>
      <c r="J11" s="3" t="s">
        <v>1286</v>
      </c>
      <c r="K11" s="3" t="s">
        <v>1298</v>
      </c>
      <c r="L11" s="1" t="n">
        <v>5</v>
      </c>
      <c r="M11" s="1" t="n">
        <v>4</v>
      </c>
      <c r="N11" s="3" t="s">
        <v>1299</v>
      </c>
      <c r="O11" s="3" t="n">
        <v>189476</v>
      </c>
      <c r="P11" s="3" t="n">
        <v>55.45</v>
      </c>
      <c r="Q11" s="1" t="s">
        <v>1283</v>
      </c>
      <c r="R11" s="3" t="s">
        <v>1289</v>
      </c>
    </row>
    <row r="12" customFormat="false" ht="18.7" hidden="false" customHeight="true" outlineLevel="0" collapsed="false">
      <c r="A12" s="1" t="n">
        <v>11</v>
      </c>
      <c r="B12" s="7" t="str">
        <f aca="false">HYPERLINK("https://mncourtfraud.com/file/SAF.zip","SAF.zip")</f>
        <v>SAF.zip</v>
      </c>
      <c r="C12" s="8" t="str">
        <f aca="false">HYPERLINK("https://mncourtfraud.com/file/27-CR-19-12466.pdf","27-CR-19-12466")</f>
        <v>27-CR-19-12466</v>
      </c>
      <c r="D12" s="3" t="s">
        <v>334</v>
      </c>
      <c r="E12" s="8" t="str">
        <f aca="false">HYPERLINK("https://mncourtfraud.com/file/MCRO_27-CR-19-12466_Order-Other_2019-07-31_20240430091856.pdf","MCRO_27-CR-19-12466_Order-Other_2019-07-31_20240430091856.pdf")</f>
        <v>MCRO_27-CR-19-12466_Order-Other_2019-07-31_20240430091856.pdf</v>
      </c>
      <c r="F12" s="3" t="s">
        <v>1279</v>
      </c>
      <c r="G12" s="1" t="s">
        <v>1297</v>
      </c>
      <c r="H12" s="9" t="n">
        <v>43677</v>
      </c>
      <c r="I12" s="1" t="n">
        <v>1</v>
      </c>
      <c r="J12" s="3" t="s">
        <v>1286</v>
      </c>
      <c r="K12" s="3" t="s">
        <v>1298</v>
      </c>
      <c r="L12" s="1" t="n">
        <v>5</v>
      </c>
      <c r="M12" s="1" t="n">
        <v>5</v>
      </c>
      <c r="N12" s="3" t="s">
        <v>1299</v>
      </c>
      <c r="O12" s="3" t="n">
        <v>189476</v>
      </c>
      <c r="P12" s="3" t="n">
        <v>55.45</v>
      </c>
      <c r="Q12" s="1" t="s">
        <v>1283</v>
      </c>
      <c r="R12" s="3" t="s">
        <v>1289</v>
      </c>
    </row>
    <row r="13" customFormat="false" ht="18.7" hidden="false" customHeight="true" outlineLevel="0" collapsed="false">
      <c r="A13" s="1" t="n">
        <v>12</v>
      </c>
      <c r="B13" s="7" t="str">
        <f aca="false">HYPERLINK("https://mncourtfraud.com/file/SAF.zip","SAF.zip")</f>
        <v>SAF.zip</v>
      </c>
      <c r="C13" s="8" t="str">
        <f aca="false">HYPERLINK("https://mncourtfraud.com/file/27-CR-19-12466.pdf","27-CR-19-12466")</f>
        <v>27-CR-19-12466</v>
      </c>
      <c r="D13" s="3" t="s">
        <v>334</v>
      </c>
      <c r="E13" s="8" t="str">
        <f aca="false">HYPERLINK("https://mncourtfraud.com/file/MCRO_27-CR-19-12466_Order-Other_2019-07-31_20240430091856.pdf","MCRO_27-CR-19-12466_Order-Other_2019-07-31_20240430091856.pdf")</f>
        <v>MCRO_27-CR-19-12466_Order-Other_2019-07-31_20240430091856.pdf</v>
      </c>
      <c r="F13" s="3" t="s">
        <v>1279</v>
      </c>
      <c r="G13" s="1" t="s">
        <v>1297</v>
      </c>
      <c r="H13" s="9" t="n">
        <v>43677</v>
      </c>
      <c r="I13" s="1" t="n">
        <v>1</v>
      </c>
      <c r="J13" s="3" t="s">
        <v>1286</v>
      </c>
      <c r="K13" s="3" t="s">
        <v>1298</v>
      </c>
      <c r="L13" s="1" t="n">
        <v>5</v>
      </c>
      <c r="M13" s="1" t="n">
        <v>6</v>
      </c>
      <c r="N13" s="3" t="s">
        <v>1299</v>
      </c>
      <c r="O13" s="3" t="n">
        <v>189476</v>
      </c>
      <c r="P13" s="3" t="n">
        <v>55.45</v>
      </c>
      <c r="Q13" s="1" t="s">
        <v>1283</v>
      </c>
      <c r="R13" s="3" t="s">
        <v>1289</v>
      </c>
    </row>
    <row r="14" customFormat="false" ht="18.7" hidden="false" customHeight="true" outlineLevel="0" collapsed="false">
      <c r="A14" s="1" t="n">
        <v>13</v>
      </c>
      <c r="B14" s="7" t="str">
        <f aca="false">HYPERLINK("https://mncourtfraud.com/file/SAF.zip","SAF.zip")</f>
        <v>SAF.zip</v>
      </c>
      <c r="C14" s="8" t="str">
        <f aca="false">HYPERLINK("https://mncourtfraud.com/file/27-CR-19-12466.pdf","27-CR-19-12466")</f>
        <v>27-CR-19-12466</v>
      </c>
      <c r="D14" s="3" t="s">
        <v>334</v>
      </c>
      <c r="E14" s="8" t="str">
        <f aca="false">HYPERLINK("https://mncourtfraud.com/file/MCRO_27-CR-19-12466_Order-Other_2019-07-31_20240430091856.pdf","MCRO_27-CR-19-12466_Order-Other_2019-07-31_20240430091856.pdf")</f>
        <v>MCRO_27-CR-19-12466_Order-Other_2019-07-31_20240430091856.pdf</v>
      </c>
      <c r="F14" s="3" t="s">
        <v>1279</v>
      </c>
      <c r="G14" s="1" t="s">
        <v>1300</v>
      </c>
      <c r="H14" s="9" t="n">
        <v>43677</v>
      </c>
      <c r="J14" s="3" t="s">
        <v>1291</v>
      </c>
      <c r="K14" s="3" t="s">
        <v>1301</v>
      </c>
      <c r="L14" s="1" t="n">
        <v>5</v>
      </c>
      <c r="M14" s="1" t="n">
        <v>7</v>
      </c>
      <c r="N14" s="3" t="s">
        <v>1302</v>
      </c>
      <c r="O14" s="3" t="n">
        <v>325301</v>
      </c>
      <c r="P14" s="3" t="n">
        <v>95.2</v>
      </c>
      <c r="Q14" s="1" t="s">
        <v>1294</v>
      </c>
      <c r="R14" s="3" t="s">
        <v>1284</v>
      </c>
    </row>
    <row r="15" customFormat="false" ht="18.7" hidden="false" customHeight="true" outlineLevel="0" collapsed="false">
      <c r="A15" s="1" t="n">
        <v>14</v>
      </c>
      <c r="H15" s="9"/>
    </row>
    <row r="16" customFormat="false" ht="18.7" hidden="false" customHeight="true" outlineLevel="0" collapsed="false">
      <c r="A16" s="1" t="n">
        <v>15</v>
      </c>
      <c r="B16" s="7" t="str">
        <f aca="false">HYPERLINK("https://mncourtfraud.com/file/SAF.zip","SAF.zip")</f>
        <v>SAF.zip</v>
      </c>
      <c r="C16" s="8" t="str">
        <f aca="false">HYPERLINK("https://mncourtfraud.com/file/27-CR-19-22615.pdf","27-CR-19-22615")</f>
        <v>27-CR-19-22615</v>
      </c>
      <c r="D16" s="3" t="s">
        <v>1303</v>
      </c>
      <c r="E16" s="8" t="str">
        <f aca="false">HYPERLINK("https://mncourtfraud.com/file/MCRO_27-CR-19-22615_Order-Other_2024-01-16_20240430092136.pdf","MCRO_27-CR-19-22615_Order-Other_2024-01-16_20240430092136.pdf")</f>
        <v>MCRO_27-CR-19-22615_Order-Other_2024-01-16_20240430092136.pdf</v>
      </c>
      <c r="F16" s="3" t="s">
        <v>1279</v>
      </c>
      <c r="G16" s="1" t="s">
        <v>1304</v>
      </c>
      <c r="H16" s="9" t="n">
        <v>45307</v>
      </c>
      <c r="I16" s="1" t="n">
        <v>0</v>
      </c>
      <c r="J16" s="3" t="s">
        <v>1305</v>
      </c>
      <c r="K16" s="3" t="s">
        <v>1281</v>
      </c>
      <c r="L16" s="1" t="n">
        <v>5</v>
      </c>
      <c r="M16" s="1" t="n">
        <v>1</v>
      </c>
      <c r="N16" s="3" t="s">
        <v>1306</v>
      </c>
      <c r="O16" s="3" t="n">
        <v>138661</v>
      </c>
      <c r="P16" s="3" t="n">
        <v>51.59</v>
      </c>
      <c r="Q16" s="1" t="s">
        <v>1283</v>
      </c>
      <c r="R16" s="3" t="s">
        <v>1284</v>
      </c>
    </row>
    <row r="17" customFormat="false" ht="18.7" hidden="false" customHeight="true" outlineLevel="0" collapsed="false">
      <c r="A17" s="1" t="n">
        <v>16</v>
      </c>
      <c r="B17" s="7" t="str">
        <f aca="false">HYPERLINK("https://mncourtfraud.com/file/SAF.zip","SAF.zip")</f>
        <v>SAF.zip</v>
      </c>
      <c r="C17" s="8" t="str">
        <f aca="false">HYPERLINK("https://mncourtfraud.com/file/27-CR-19-22615.pdf","27-CR-19-22615")</f>
        <v>27-CR-19-22615</v>
      </c>
      <c r="D17" s="3" t="s">
        <v>1303</v>
      </c>
      <c r="E17" s="8" t="str">
        <f aca="false">HYPERLINK("https://mncourtfraud.com/file/MCRO_27-CR-19-22615_Order-Other_2024-01-16_20240430092136.pdf","MCRO_27-CR-19-22615_Order-Other_2024-01-16_20240430092136.pdf")</f>
        <v>MCRO_27-CR-19-22615_Order-Other_2024-01-16_20240430092136.pdf</v>
      </c>
      <c r="F17" s="3" t="s">
        <v>1279</v>
      </c>
      <c r="G17" s="1" t="s">
        <v>1307</v>
      </c>
      <c r="H17" s="9" t="n">
        <v>45307</v>
      </c>
      <c r="I17" s="1" t="n">
        <v>1</v>
      </c>
      <c r="J17" s="3" t="s">
        <v>1286</v>
      </c>
      <c r="K17" s="3" t="s">
        <v>1308</v>
      </c>
      <c r="L17" s="1" t="n">
        <v>5</v>
      </c>
      <c r="M17" s="1" t="n">
        <v>2</v>
      </c>
      <c r="N17" s="3" t="s">
        <v>1309</v>
      </c>
      <c r="O17" s="3" t="n">
        <v>181295</v>
      </c>
      <c r="P17" s="3" t="n">
        <v>67.45</v>
      </c>
      <c r="Q17" s="1" t="s">
        <v>1283</v>
      </c>
      <c r="R17" s="3" t="s">
        <v>1289</v>
      </c>
    </row>
    <row r="18" customFormat="false" ht="18.7" hidden="false" customHeight="true" outlineLevel="0" collapsed="false">
      <c r="A18" s="1" t="n">
        <v>17</v>
      </c>
      <c r="B18" s="7" t="str">
        <f aca="false">HYPERLINK("https://mncourtfraud.com/file/SAF.zip","SAF.zip")</f>
        <v>SAF.zip</v>
      </c>
      <c r="C18" s="8" t="str">
        <f aca="false">HYPERLINK("https://mncourtfraud.com/file/27-CR-19-22615.pdf","27-CR-19-22615")</f>
        <v>27-CR-19-22615</v>
      </c>
      <c r="D18" s="3" t="s">
        <v>1303</v>
      </c>
      <c r="E18" s="8" t="str">
        <f aca="false">HYPERLINK("https://mncourtfraud.com/file/MCRO_27-CR-19-22615_Order-Other_2024-01-16_20240430092136.pdf","MCRO_27-CR-19-22615_Order-Other_2024-01-16_20240430092136.pdf")</f>
        <v>MCRO_27-CR-19-22615_Order-Other_2024-01-16_20240430092136.pdf</v>
      </c>
      <c r="F18" s="3" t="s">
        <v>1279</v>
      </c>
      <c r="G18" s="1" t="s">
        <v>1307</v>
      </c>
      <c r="H18" s="9" t="n">
        <v>45307</v>
      </c>
      <c r="I18" s="1" t="n">
        <v>1</v>
      </c>
      <c r="J18" s="3" t="s">
        <v>1286</v>
      </c>
      <c r="K18" s="3" t="s">
        <v>1308</v>
      </c>
      <c r="L18" s="1" t="n">
        <v>5</v>
      </c>
      <c r="M18" s="1" t="n">
        <v>3</v>
      </c>
      <c r="N18" s="3" t="s">
        <v>1309</v>
      </c>
      <c r="O18" s="3" t="n">
        <v>181295</v>
      </c>
      <c r="P18" s="3" t="n">
        <v>67.45</v>
      </c>
      <c r="Q18" s="1" t="s">
        <v>1283</v>
      </c>
      <c r="R18" s="3" t="s">
        <v>1289</v>
      </c>
    </row>
    <row r="19" customFormat="false" ht="18.7" hidden="false" customHeight="true" outlineLevel="0" collapsed="false">
      <c r="A19" s="1" t="n">
        <v>18</v>
      </c>
      <c r="B19" s="7" t="str">
        <f aca="false">HYPERLINK("https://mncourtfraud.com/file/SAF.zip","SAF.zip")</f>
        <v>SAF.zip</v>
      </c>
      <c r="C19" s="8" t="str">
        <f aca="false">HYPERLINK("https://mncourtfraud.com/file/27-CR-19-22615.pdf","27-CR-19-22615")</f>
        <v>27-CR-19-22615</v>
      </c>
      <c r="D19" s="3" t="s">
        <v>1303</v>
      </c>
      <c r="E19" s="8" t="str">
        <f aca="false">HYPERLINK("https://mncourtfraud.com/file/MCRO_27-CR-19-22615_Order-Other_2024-01-16_20240430092136.pdf","MCRO_27-CR-19-22615_Order-Other_2024-01-16_20240430092136.pdf")</f>
        <v>MCRO_27-CR-19-22615_Order-Other_2024-01-16_20240430092136.pdf</v>
      </c>
      <c r="F19" s="3" t="s">
        <v>1279</v>
      </c>
      <c r="G19" s="1" t="s">
        <v>1310</v>
      </c>
      <c r="H19" s="9" t="n">
        <v>45307</v>
      </c>
      <c r="J19" s="3" t="s">
        <v>1291</v>
      </c>
      <c r="K19" s="3" t="s">
        <v>1311</v>
      </c>
      <c r="L19" s="1" t="n">
        <v>5</v>
      </c>
      <c r="M19" s="1" t="n">
        <v>4</v>
      </c>
      <c r="N19" s="3" t="s">
        <v>1312</v>
      </c>
      <c r="O19" s="3" t="n">
        <v>252399</v>
      </c>
      <c r="P19" s="3" t="n">
        <v>93.9</v>
      </c>
      <c r="Q19" s="1" t="s">
        <v>1294</v>
      </c>
      <c r="R19" s="3" t="s">
        <v>1284</v>
      </c>
    </row>
    <row r="20" customFormat="false" ht="18.7" hidden="false" customHeight="true" outlineLevel="0" collapsed="false">
      <c r="A20" s="1" t="n">
        <v>19</v>
      </c>
      <c r="H20" s="9"/>
    </row>
    <row r="21" customFormat="false" ht="18.7" hidden="false" customHeight="true" outlineLevel="0" collapsed="false">
      <c r="A21" s="1" t="n">
        <v>20</v>
      </c>
      <c r="B21" s="7" t="str">
        <f aca="false">HYPERLINK("https://mncourtfraud.com/file/SAF.zip","SAF.zip")</f>
        <v>SAF.zip</v>
      </c>
      <c r="C21" s="8" t="str">
        <f aca="false">HYPERLINK("https://mncourtfraud.com/file/27-CR-19-25578.pdf","27-CR-19-25578")</f>
        <v>27-CR-19-25578</v>
      </c>
      <c r="D21" s="3" t="s">
        <v>1313</v>
      </c>
      <c r="E21" s="8" t="str">
        <f aca="false">HYPERLINK("https://mncourtfraud.com/file/MCRO_27-CR-19-25578_Order for Dismissal_2023-06-29_20240430092254.pdf","MCRO_27-CR-19-25578_Order for Dismissal_2023-06-29_20240430092254.pdf")</f>
        <v>MCRO_27-CR-19-25578_Order for Dismissal_2023-06-29_20240430092254.pdf</v>
      </c>
      <c r="F21" s="3" t="s">
        <v>1314</v>
      </c>
      <c r="G21" s="1" t="s">
        <v>1315</v>
      </c>
      <c r="H21" s="9" t="n">
        <v>45106</v>
      </c>
      <c r="I21" s="1" t="n">
        <v>0</v>
      </c>
      <c r="J21" s="3" t="s">
        <v>64</v>
      </c>
      <c r="K21" s="3" t="s">
        <v>1281</v>
      </c>
      <c r="L21" s="1" t="n">
        <v>7</v>
      </c>
      <c r="M21" s="1" t="n">
        <v>1</v>
      </c>
      <c r="N21" s="3" t="s">
        <v>1316</v>
      </c>
      <c r="O21" s="3" t="n">
        <v>136734</v>
      </c>
      <c r="P21" s="3" t="n">
        <v>56.15</v>
      </c>
      <c r="Q21" s="1" t="s">
        <v>1283</v>
      </c>
      <c r="R21" s="3" t="s">
        <v>1289</v>
      </c>
    </row>
    <row r="22" customFormat="false" ht="18.7" hidden="false" customHeight="true" outlineLevel="0" collapsed="false">
      <c r="A22" s="1" t="n">
        <v>21</v>
      </c>
      <c r="B22" s="7" t="str">
        <f aca="false">HYPERLINK("https://mncourtfraud.com/file/SAF.zip","SAF.zip")</f>
        <v>SAF.zip</v>
      </c>
      <c r="C22" s="8" t="str">
        <f aca="false">HYPERLINK("https://mncourtfraud.com/file/27-CR-19-25578.pdf","27-CR-19-25578")</f>
        <v>27-CR-19-25578</v>
      </c>
      <c r="D22" s="3" t="s">
        <v>1313</v>
      </c>
      <c r="E22" s="8" t="str">
        <f aca="false">HYPERLINK("https://mncourtfraud.com/file/MCRO_27-CR-19-25578_Order for Dismissal_2023-06-29_20240430092254.pdf","MCRO_27-CR-19-25578_Order for Dismissal_2023-06-29_20240430092254.pdf")</f>
        <v>MCRO_27-CR-19-25578_Order for Dismissal_2023-06-29_20240430092254.pdf</v>
      </c>
      <c r="F22" s="3" t="s">
        <v>1314</v>
      </c>
      <c r="G22" s="1" t="s">
        <v>1317</v>
      </c>
      <c r="H22" s="9" t="n">
        <v>45106</v>
      </c>
      <c r="I22" s="1" t="n">
        <v>1</v>
      </c>
      <c r="J22" s="3" t="s">
        <v>1286</v>
      </c>
      <c r="K22" s="3" t="s">
        <v>1318</v>
      </c>
      <c r="L22" s="1" t="n">
        <v>7</v>
      </c>
      <c r="M22" s="1" t="n">
        <v>2</v>
      </c>
      <c r="N22" s="3" t="s">
        <v>1319</v>
      </c>
      <c r="O22" s="3" t="n">
        <v>178884</v>
      </c>
      <c r="P22" s="3" t="n">
        <v>73.47</v>
      </c>
      <c r="Q22" s="1" t="s">
        <v>1283</v>
      </c>
      <c r="R22" s="3" t="s">
        <v>1289</v>
      </c>
    </row>
    <row r="23" customFormat="false" ht="18.7" hidden="false" customHeight="true" outlineLevel="0" collapsed="false">
      <c r="A23" s="1" t="n">
        <v>22</v>
      </c>
      <c r="B23" s="7" t="str">
        <f aca="false">HYPERLINK("https://mncourtfraud.com/file/SAF.zip","SAF.zip")</f>
        <v>SAF.zip</v>
      </c>
      <c r="C23" s="8" t="str">
        <f aca="false">HYPERLINK("https://mncourtfraud.com/file/27-CR-19-25578.pdf","27-CR-19-25578")</f>
        <v>27-CR-19-25578</v>
      </c>
      <c r="D23" s="3" t="s">
        <v>1313</v>
      </c>
      <c r="E23" s="8" t="str">
        <f aca="false">HYPERLINK("https://mncourtfraud.com/file/MCRO_27-CR-19-25578_Order for Dismissal_2023-06-29_20240430092254.pdf","MCRO_27-CR-19-25578_Order for Dismissal_2023-06-29_20240430092254.pdf")</f>
        <v>MCRO_27-CR-19-25578_Order for Dismissal_2023-06-29_20240430092254.pdf</v>
      </c>
      <c r="F23" s="3" t="s">
        <v>1314</v>
      </c>
      <c r="G23" s="1" t="s">
        <v>1320</v>
      </c>
      <c r="H23" s="9" t="n">
        <v>45106</v>
      </c>
      <c r="J23" s="3" t="s">
        <v>1291</v>
      </c>
      <c r="K23" s="3" t="s">
        <v>1321</v>
      </c>
      <c r="L23" s="1" t="n">
        <v>7</v>
      </c>
      <c r="M23" s="1" t="n">
        <v>3</v>
      </c>
      <c r="N23" s="3" t="s">
        <v>1322</v>
      </c>
      <c r="O23" s="3" t="n">
        <v>227109</v>
      </c>
      <c r="P23" s="3" t="n">
        <v>93.27</v>
      </c>
      <c r="Q23" s="1" t="s">
        <v>1294</v>
      </c>
      <c r="R23" s="3" t="s">
        <v>1284</v>
      </c>
    </row>
    <row r="24" customFormat="false" ht="18.7" hidden="false" customHeight="true" outlineLevel="0" collapsed="false">
      <c r="A24" s="1" t="n">
        <v>23</v>
      </c>
      <c r="H24" s="9"/>
    </row>
    <row r="25" customFormat="false" ht="18.7" hidden="false" customHeight="true" outlineLevel="0" collapsed="false">
      <c r="A25" s="1" t="n">
        <v>24</v>
      </c>
      <c r="B25" s="7" t="str">
        <f aca="false">HYPERLINK("https://mncourtfraud.com/file/SAF.zip","SAF.zip")</f>
        <v>SAF.zip</v>
      </c>
      <c r="C25" s="8" t="str">
        <f aca="false">HYPERLINK("https://mncourtfraud.com/file/27-CR-20-13495.pdf","27-CR-20-13495")</f>
        <v>27-CR-20-13495</v>
      </c>
      <c r="D25" s="3" t="s">
        <v>879</v>
      </c>
      <c r="E25" s="8" t="str">
        <f aca="false">HYPERLINK("https://mncourtfraud.com/file/MCRO_27-CR-20-13495_Order-Other_2021-10-27_20240430085950.pdf","MCRO_27-CR-20-13495_Order-Other_2021-10-27_20240430085950.pdf")</f>
        <v>MCRO_27-CR-20-13495_Order-Other_2021-10-27_20240430085950.pdf</v>
      </c>
      <c r="F25" s="3" t="s">
        <v>1279</v>
      </c>
      <c r="G25" s="1" t="s">
        <v>1323</v>
      </c>
      <c r="H25" s="9" t="n">
        <v>44496</v>
      </c>
      <c r="I25" s="1" t="n">
        <v>0</v>
      </c>
      <c r="J25" s="3" t="s">
        <v>64</v>
      </c>
      <c r="K25" s="3" t="s">
        <v>1324</v>
      </c>
      <c r="L25" s="1" t="n">
        <v>6</v>
      </c>
      <c r="M25" s="1" t="n">
        <v>1</v>
      </c>
      <c r="N25" s="3" t="s">
        <v>1309</v>
      </c>
      <c r="O25" s="3" t="n">
        <v>123488</v>
      </c>
      <c r="P25" s="3" t="n">
        <v>45.15</v>
      </c>
      <c r="Q25" s="1" t="s">
        <v>1283</v>
      </c>
      <c r="R25" s="3" t="s">
        <v>1289</v>
      </c>
    </row>
    <row r="26" customFormat="false" ht="18.7" hidden="false" customHeight="true" outlineLevel="0" collapsed="false">
      <c r="A26" s="1" t="n">
        <v>25</v>
      </c>
      <c r="B26" s="7" t="str">
        <f aca="false">HYPERLINK("https://mncourtfraud.com/file/SAF.zip","SAF.zip")</f>
        <v>SAF.zip</v>
      </c>
      <c r="C26" s="8" t="str">
        <f aca="false">HYPERLINK("https://mncourtfraud.com/file/27-CR-20-13495.pdf","27-CR-20-13495")</f>
        <v>27-CR-20-13495</v>
      </c>
      <c r="D26" s="3" t="s">
        <v>879</v>
      </c>
      <c r="E26" s="8" t="str">
        <f aca="false">HYPERLINK("https://mncourtfraud.com/file/MCRO_27-CR-20-13495_Order-Other_2021-10-27_20240430085950.pdf","MCRO_27-CR-20-13495_Order-Other_2021-10-27_20240430085950.pdf")</f>
        <v>MCRO_27-CR-20-13495_Order-Other_2021-10-27_20240430085950.pdf</v>
      </c>
      <c r="F26" s="3" t="s">
        <v>1279</v>
      </c>
      <c r="G26" s="1" t="s">
        <v>1325</v>
      </c>
      <c r="H26" s="9" t="n">
        <v>44496</v>
      </c>
      <c r="I26" s="1" t="n">
        <v>1</v>
      </c>
      <c r="J26" s="3" t="s">
        <v>1286</v>
      </c>
      <c r="K26" s="3" t="s">
        <v>1326</v>
      </c>
      <c r="L26" s="1" t="n">
        <v>6</v>
      </c>
      <c r="M26" s="1" t="n">
        <v>2</v>
      </c>
      <c r="N26" s="3" t="s">
        <v>1288</v>
      </c>
      <c r="O26" s="3" t="n">
        <v>164852</v>
      </c>
      <c r="P26" s="3" t="n">
        <v>60.27</v>
      </c>
      <c r="Q26" s="1" t="s">
        <v>1283</v>
      </c>
      <c r="R26" s="3" t="s">
        <v>1289</v>
      </c>
    </row>
    <row r="27" customFormat="false" ht="18.7" hidden="false" customHeight="true" outlineLevel="0" collapsed="false">
      <c r="A27" s="1" t="n">
        <v>26</v>
      </c>
      <c r="B27" s="7" t="str">
        <f aca="false">HYPERLINK("https://mncourtfraud.com/file/SAF.zip","SAF.zip")</f>
        <v>SAF.zip</v>
      </c>
      <c r="C27" s="8" t="str">
        <f aca="false">HYPERLINK("https://mncourtfraud.com/file/27-CR-20-13495.pdf","27-CR-20-13495")</f>
        <v>27-CR-20-13495</v>
      </c>
      <c r="D27" s="3" t="s">
        <v>879</v>
      </c>
      <c r="E27" s="8" t="str">
        <f aca="false">HYPERLINK("https://mncourtfraud.com/file/MCRO_27-CR-20-13495_Order-Other_2021-10-27_20240430085950.pdf","MCRO_27-CR-20-13495_Order-Other_2021-10-27_20240430085950.pdf")</f>
        <v>MCRO_27-CR-20-13495_Order-Other_2021-10-27_20240430085950.pdf</v>
      </c>
      <c r="F27" s="3" t="s">
        <v>1279</v>
      </c>
      <c r="G27" s="1" t="s">
        <v>1325</v>
      </c>
      <c r="H27" s="9" t="n">
        <v>44496</v>
      </c>
      <c r="I27" s="1" t="n">
        <v>1</v>
      </c>
      <c r="J27" s="3" t="s">
        <v>1286</v>
      </c>
      <c r="K27" s="3" t="s">
        <v>1326</v>
      </c>
      <c r="L27" s="1" t="n">
        <v>6</v>
      </c>
      <c r="M27" s="1" t="n">
        <v>3</v>
      </c>
      <c r="N27" s="3" t="s">
        <v>1288</v>
      </c>
      <c r="O27" s="3" t="n">
        <v>164852</v>
      </c>
      <c r="P27" s="3" t="n">
        <v>60.27</v>
      </c>
      <c r="Q27" s="1" t="s">
        <v>1283</v>
      </c>
      <c r="R27" s="3" t="s">
        <v>1289</v>
      </c>
    </row>
    <row r="28" customFormat="false" ht="18.7" hidden="false" customHeight="true" outlineLevel="0" collapsed="false">
      <c r="A28" s="1" t="n">
        <v>27</v>
      </c>
      <c r="B28" s="7" t="str">
        <f aca="false">HYPERLINK("https://mncourtfraud.com/file/SAF.zip","SAF.zip")</f>
        <v>SAF.zip</v>
      </c>
      <c r="C28" s="8" t="str">
        <f aca="false">HYPERLINK("https://mncourtfraud.com/file/27-CR-20-13495.pdf","27-CR-20-13495")</f>
        <v>27-CR-20-13495</v>
      </c>
      <c r="D28" s="3" t="s">
        <v>879</v>
      </c>
      <c r="E28" s="8" t="str">
        <f aca="false">HYPERLINK("https://mncourtfraud.com/file/MCRO_27-CR-20-13495_Order-Other_2021-10-27_20240430085950.pdf","MCRO_27-CR-20-13495_Order-Other_2021-10-27_20240430085950.pdf")</f>
        <v>MCRO_27-CR-20-13495_Order-Other_2021-10-27_20240430085950.pdf</v>
      </c>
      <c r="F28" s="3" t="s">
        <v>1279</v>
      </c>
      <c r="G28" s="1" t="s">
        <v>1325</v>
      </c>
      <c r="H28" s="9" t="n">
        <v>44496</v>
      </c>
      <c r="I28" s="1" t="n">
        <v>1</v>
      </c>
      <c r="J28" s="3" t="s">
        <v>1286</v>
      </c>
      <c r="K28" s="3" t="s">
        <v>1326</v>
      </c>
      <c r="L28" s="1" t="n">
        <v>6</v>
      </c>
      <c r="M28" s="1" t="n">
        <v>4</v>
      </c>
      <c r="N28" s="3" t="s">
        <v>1288</v>
      </c>
      <c r="O28" s="3" t="n">
        <v>164852</v>
      </c>
      <c r="P28" s="3" t="n">
        <v>60.27</v>
      </c>
      <c r="Q28" s="1" t="s">
        <v>1283</v>
      </c>
      <c r="R28" s="3" t="s">
        <v>1289</v>
      </c>
    </row>
    <row r="29" customFormat="false" ht="18.7" hidden="false" customHeight="true" outlineLevel="0" collapsed="false">
      <c r="A29" s="1" t="n">
        <v>28</v>
      </c>
      <c r="B29" s="7" t="str">
        <f aca="false">HYPERLINK("https://mncourtfraud.com/file/SAF.zip","SAF.zip")</f>
        <v>SAF.zip</v>
      </c>
      <c r="C29" s="8" t="str">
        <f aca="false">HYPERLINK("https://mncourtfraud.com/file/27-CR-20-13495.pdf","27-CR-20-13495")</f>
        <v>27-CR-20-13495</v>
      </c>
      <c r="D29" s="3" t="s">
        <v>879</v>
      </c>
      <c r="E29" s="8" t="str">
        <f aca="false">HYPERLINK("https://mncourtfraud.com/file/MCRO_27-CR-20-13495_Order-Other_2021-10-27_20240430085950.pdf","MCRO_27-CR-20-13495_Order-Other_2021-10-27_20240430085950.pdf")</f>
        <v>MCRO_27-CR-20-13495_Order-Other_2021-10-27_20240430085950.pdf</v>
      </c>
      <c r="F29" s="3" t="s">
        <v>1279</v>
      </c>
      <c r="G29" s="1" t="s">
        <v>1327</v>
      </c>
      <c r="H29" s="9" t="n">
        <v>44496</v>
      </c>
      <c r="J29" s="3" t="s">
        <v>1291</v>
      </c>
      <c r="K29" s="3" t="s">
        <v>1328</v>
      </c>
      <c r="L29" s="1" t="n">
        <v>6</v>
      </c>
      <c r="M29" s="1" t="n">
        <v>5</v>
      </c>
      <c r="N29" s="3" t="s">
        <v>1293</v>
      </c>
      <c r="O29" s="3" t="n">
        <v>257132</v>
      </c>
      <c r="P29" s="3" t="n">
        <v>94.01</v>
      </c>
      <c r="Q29" s="1" t="s">
        <v>1294</v>
      </c>
      <c r="R29" s="3" t="s">
        <v>1284</v>
      </c>
    </row>
    <row r="30" customFormat="false" ht="18.7" hidden="false" customHeight="true" outlineLevel="0" collapsed="false">
      <c r="A30" s="1" t="n">
        <v>29</v>
      </c>
      <c r="H30" s="9"/>
    </row>
    <row r="31" customFormat="false" ht="18.7" hidden="false" customHeight="true" outlineLevel="0" collapsed="false">
      <c r="A31" s="1" t="n">
        <v>30</v>
      </c>
      <c r="B31" s="7" t="str">
        <f aca="false">HYPERLINK("https://mncourtfraud.com/file/SAF.zip","SAF.zip")</f>
        <v>SAF.zip</v>
      </c>
      <c r="C31" s="8" t="str">
        <f aca="false">HYPERLINK("https://mncourtfraud.com/file/27-CR-20-13495.pdf","27-CR-20-13495")</f>
        <v>27-CR-20-13495</v>
      </c>
      <c r="D31" s="3" t="s">
        <v>879</v>
      </c>
      <c r="E31" s="8" t="str">
        <f aca="false">HYPERLINK("https://mncourtfraud.com/file/MCRO_27-CR-20-13495_Order Reinstating Forfeited Cash or Surety Bond_2021-11-19_20240430085946.pdf","MCRO_27-CR-20-13495_Order Reinstating Forfeited Cash or Surety Bond_2021-11-19_20240430085946.pdf")</f>
        <v>MCRO_27-CR-20-13495_Order Reinstating Forfeited Cash or Surety Bond_2021-11-19_20240430085946.pdf</v>
      </c>
      <c r="F31" s="3" t="s">
        <v>1329</v>
      </c>
      <c r="G31" s="1" t="s">
        <v>1330</v>
      </c>
      <c r="H31" s="9" t="n">
        <v>44519</v>
      </c>
      <c r="I31" s="1" t="n">
        <v>0</v>
      </c>
      <c r="J31" s="3" t="s">
        <v>64</v>
      </c>
      <c r="K31" s="3" t="s">
        <v>1324</v>
      </c>
      <c r="L31" s="1" t="n">
        <v>6</v>
      </c>
      <c r="M31" s="1" t="n">
        <v>1</v>
      </c>
      <c r="N31" s="3" t="s">
        <v>1312</v>
      </c>
      <c r="O31" s="3" t="n">
        <v>105093</v>
      </c>
      <c r="P31" s="3" t="n">
        <v>37.64</v>
      </c>
      <c r="Q31" s="1" t="s">
        <v>1283</v>
      </c>
      <c r="R31" s="3" t="s">
        <v>1289</v>
      </c>
    </row>
    <row r="32" customFormat="false" ht="18.7" hidden="false" customHeight="true" outlineLevel="0" collapsed="false">
      <c r="A32" s="1" t="n">
        <v>31</v>
      </c>
      <c r="B32" s="7" t="str">
        <f aca="false">HYPERLINK("https://mncourtfraud.com/file/SAF.zip","SAF.zip")</f>
        <v>SAF.zip</v>
      </c>
      <c r="C32" s="8" t="str">
        <f aca="false">HYPERLINK("https://mncourtfraud.com/file/27-CR-20-13495.pdf","27-CR-20-13495")</f>
        <v>27-CR-20-13495</v>
      </c>
      <c r="D32" s="3" t="s">
        <v>879</v>
      </c>
      <c r="E32" s="8" t="str">
        <f aca="false">HYPERLINK("https://mncourtfraud.com/file/MCRO_27-CR-20-13495_Order Reinstating Forfeited Cash or Surety Bond_2021-11-19_20240430085946.pdf","MCRO_27-CR-20-13495_Order Reinstating Forfeited Cash or Surety Bond_2021-11-19_20240430085946.pdf")</f>
        <v>MCRO_27-CR-20-13495_Order Reinstating Forfeited Cash or Surety Bond_2021-11-19_20240430085946.pdf</v>
      </c>
      <c r="F32" s="3" t="s">
        <v>1329</v>
      </c>
      <c r="G32" s="1" t="s">
        <v>1331</v>
      </c>
      <c r="H32" s="9" t="n">
        <v>44519</v>
      </c>
      <c r="I32" s="1" t="n">
        <v>3</v>
      </c>
      <c r="J32" s="3" t="s">
        <v>1286</v>
      </c>
      <c r="K32" s="3" t="s">
        <v>1332</v>
      </c>
      <c r="L32" s="1" t="n">
        <v>6</v>
      </c>
      <c r="M32" s="1" t="n">
        <v>2</v>
      </c>
      <c r="N32" s="3" t="s">
        <v>1333</v>
      </c>
      <c r="O32" s="3" t="n">
        <v>148473</v>
      </c>
      <c r="P32" s="3" t="n">
        <v>53.17</v>
      </c>
      <c r="Q32" s="1" t="s">
        <v>1283</v>
      </c>
      <c r="R32" s="3" t="s">
        <v>1289</v>
      </c>
    </row>
    <row r="33" customFormat="false" ht="18.7" hidden="false" customHeight="true" outlineLevel="0" collapsed="false">
      <c r="A33" s="1" t="n">
        <v>32</v>
      </c>
      <c r="B33" s="7" t="str">
        <f aca="false">HYPERLINK("https://mncourtfraud.com/file/SAF.zip","SAF.zip")</f>
        <v>SAF.zip</v>
      </c>
      <c r="C33" s="8" t="str">
        <f aca="false">HYPERLINK("https://mncourtfraud.com/file/27-CR-20-13495.pdf","27-CR-20-13495")</f>
        <v>27-CR-20-13495</v>
      </c>
      <c r="D33" s="3" t="s">
        <v>879</v>
      </c>
      <c r="E33" s="8" t="str">
        <f aca="false">HYPERLINK("https://mncourtfraud.com/file/MCRO_27-CR-20-13495_Order Reinstating Forfeited Cash or Surety Bond_2021-11-19_20240430085946.pdf","MCRO_27-CR-20-13495_Order Reinstating Forfeited Cash or Surety Bond_2021-11-19_20240430085946.pdf")</f>
        <v>MCRO_27-CR-20-13495_Order Reinstating Forfeited Cash or Surety Bond_2021-11-19_20240430085946.pdf</v>
      </c>
      <c r="F33" s="3" t="s">
        <v>1329</v>
      </c>
      <c r="G33" s="1" t="s">
        <v>1331</v>
      </c>
      <c r="H33" s="9" t="n">
        <v>44519</v>
      </c>
      <c r="I33" s="1" t="n">
        <v>3</v>
      </c>
      <c r="J33" s="3" t="s">
        <v>1286</v>
      </c>
      <c r="K33" s="3" t="s">
        <v>1332</v>
      </c>
      <c r="L33" s="1" t="n">
        <v>6</v>
      </c>
      <c r="M33" s="1" t="n">
        <v>3</v>
      </c>
      <c r="N33" s="3" t="s">
        <v>1333</v>
      </c>
      <c r="O33" s="3" t="n">
        <v>148473</v>
      </c>
      <c r="P33" s="3" t="n">
        <v>53.17</v>
      </c>
      <c r="Q33" s="1" t="s">
        <v>1283</v>
      </c>
      <c r="R33" s="3" t="s">
        <v>1289</v>
      </c>
    </row>
    <row r="34" customFormat="false" ht="18.7" hidden="false" customHeight="true" outlineLevel="0" collapsed="false">
      <c r="A34" s="1" t="n">
        <v>33</v>
      </c>
      <c r="B34" s="7" t="str">
        <f aca="false">HYPERLINK("https://mncourtfraud.com/file/SAF.zip","SAF.zip")</f>
        <v>SAF.zip</v>
      </c>
      <c r="C34" s="8" t="str">
        <f aca="false">HYPERLINK("https://mncourtfraud.com/file/27-CR-20-13495.pdf","27-CR-20-13495")</f>
        <v>27-CR-20-13495</v>
      </c>
      <c r="D34" s="3" t="s">
        <v>879</v>
      </c>
      <c r="E34" s="8" t="str">
        <f aca="false">HYPERLINK("https://mncourtfraud.com/file/MCRO_27-CR-20-13495_Order Reinstating Forfeited Cash or Surety Bond_2021-11-19_20240430085946.pdf","MCRO_27-CR-20-13495_Order Reinstating Forfeited Cash or Surety Bond_2021-11-19_20240430085946.pdf")</f>
        <v>MCRO_27-CR-20-13495_Order Reinstating Forfeited Cash or Surety Bond_2021-11-19_20240430085946.pdf</v>
      </c>
      <c r="F34" s="3" t="s">
        <v>1329</v>
      </c>
      <c r="G34" s="1" t="s">
        <v>1331</v>
      </c>
      <c r="H34" s="9" t="n">
        <v>44519</v>
      </c>
      <c r="I34" s="1" t="n">
        <v>3</v>
      </c>
      <c r="J34" s="3" t="s">
        <v>1286</v>
      </c>
      <c r="K34" s="3" t="s">
        <v>1332</v>
      </c>
      <c r="L34" s="1" t="n">
        <v>6</v>
      </c>
      <c r="M34" s="1" t="n">
        <v>4</v>
      </c>
      <c r="N34" s="3" t="s">
        <v>1333</v>
      </c>
      <c r="O34" s="3" t="n">
        <v>148473</v>
      </c>
      <c r="P34" s="3" t="n">
        <v>53.17</v>
      </c>
      <c r="Q34" s="1" t="s">
        <v>1283</v>
      </c>
      <c r="R34" s="3" t="s">
        <v>1289</v>
      </c>
    </row>
    <row r="35" customFormat="false" ht="18.7" hidden="false" customHeight="true" outlineLevel="0" collapsed="false">
      <c r="A35" s="1" t="n">
        <v>34</v>
      </c>
      <c r="B35" s="7" t="str">
        <f aca="false">HYPERLINK("https://mncourtfraud.com/file/SAF.zip","SAF.zip")</f>
        <v>SAF.zip</v>
      </c>
      <c r="C35" s="8" t="str">
        <f aca="false">HYPERLINK("https://mncourtfraud.com/file/27-CR-20-13495.pdf","27-CR-20-13495")</f>
        <v>27-CR-20-13495</v>
      </c>
      <c r="D35" s="3" t="s">
        <v>879</v>
      </c>
      <c r="E35" s="8" t="str">
        <f aca="false">HYPERLINK("https://mncourtfraud.com/file/MCRO_27-CR-20-13495_Order Reinstating Forfeited Cash or Surety Bond_2021-11-19_20240430085946.pdf","MCRO_27-CR-20-13495_Order Reinstating Forfeited Cash or Surety Bond_2021-11-19_20240430085946.pdf")</f>
        <v>MCRO_27-CR-20-13495_Order Reinstating Forfeited Cash or Surety Bond_2021-11-19_20240430085946.pdf</v>
      </c>
      <c r="F35" s="3" t="s">
        <v>1329</v>
      </c>
      <c r="G35" s="1" t="s">
        <v>1331</v>
      </c>
      <c r="H35" s="9" t="n">
        <v>44519</v>
      </c>
      <c r="I35" s="1" t="n">
        <v>3</v>
      </c>
      <c r="J35" s="3" t="s">
        <v>1286</v>
      </c>
      <c r="K35" s="3" t="s">
        <v>1332</v>
      </c>
      <c r="L35" s="1" t="n">
        <v>6</v>
      </c>
      <c r="M35" s="1" t="n">
        <v>5</v>
      </c>
      <c r="N35" s="3" t="s">
        <v>1333</v>
      </c>
      <c r="O35" s="3" t="n">
        <v>148473</v>
      </c>
      <c r="P35" s="3" t="n">
        <v>53.17</v>
      </c>
      <c r="Q35" s="1" t="s">
        <v>1283</v>
      </c>
      <c r="R35" s="3" t="s">
        <v>1289</v>
      </c>
    </row>
    <row r="36" customFormat="false" ht="18.7" hidden="false" customHeight="true" outlineLevel="0" collapsed="false">
      <c r="A36" s="1" t="n">
        <v>35</v>
      </c>
      <c r="B36" s="7" t="str">
        <f aca="false">HYPERLINK("https://mncourtfraud.com/file/SAF.zip","SAF.zip")</f>
        <v>SAF.zip</v>
      </c>
      <c r="C36" s="8" t="str">
        <f aca="false">HYPERLINK("https://mncourtfraud.com/file/27-CR-20-13495.pdf","27-CR-20-13495")</f>
        <v>27-CR-20-13495</v>
      </c>
      <c r="D36" s="3" t="s">
        <v>879</v>
      </c>
      <c r="E36" s="8" t="str">
        <f aca="false">HYPERLINK("https://mncourtfraud.com/file/MCRO_27-CR-20-13495_Order Reinstating Forfeited Cash or Surety Bond_2021-11-19_20240430085946.pdf","MCRO_27-CR-20-13495_Order Reinstating Forfeited Cash or Surety Bond_2021-11-19_20240430085946.pdf")</f>
        <v>MCRO_27-CR-20-13495_Order Reinstating Forfeited Cash or Surety Bond_2021-11-19_20240430085946.pdf</v>
      </c>
      <c r="F36" s="3" t="s">
        <v>1329</v>
      </c>
      <c r="G36" s="1" t="s">
        <v>1334</v>
      </c>
      <c r="H36" s="9" t="n">
        <v>44519</v>
      </c>
      <c r="J36" s="3" t="s">
        <v>1291</v>
      </c>
      <c r="K36" s="3" t="s">
        <v>1335</v>
      </c>
      <c r="L36" s="1" t="n">
        <v>6</v>
      </c>
      <c r="M36" s="1" t="n">
        <v>6</v>
      </c>
      <c r="N36" s="3" t="s">
        <v>1336</v>
      </c>
      <c r="O36" s="3" t="n">
        <v>262845</v>
      </c>
      <c r="P36" s="3" t="n">
        <v>94.13</v>
      </c>
      <c r="Q36" s="1" t="s">
        <v>1294</v>
      </c>
      <c r="R36" s="3" t="s">
        <v>1284</v>
      </c>
    </row>
    <row r="37" customFormat="false" ht="18.7" hidden="false" customHeight="true" outlineLevel="0" collapsed="false">
      <c r="A37" s="1" t="n">
        <v>36</v>
      </c>
      <c r="H37" s="9"/>
    </row>
    <row r="38" customFormat="false" ht="18.7" hidden="false" customHeight="true" outlineLevel="0" collapsed="false">
      <c r="A38" s="1" t="n">
        <v>37</v>
      </c>
      <c r="B38" s="7" t="str">
        <f aca="false">HYPERLINK("https://mncourtfraud.com/file/SAF.zip","SAF.zip")</f>
        <v>SAF.zip</v>
      </c>
      <c r="C38" s="8" t="str">
        <f aca="false">HYPERLINK("https://mncourtfraud.com/file/27-CR-20-23521.pdf","27-CR-20-23521")</f>
        <v>27-CR-20-23521</v>
      </c>
      <c r="D38" s="3" t="s">
        <v>1337</v>
      </c>
      <c r="E38" s="8" t="str">
        <f aca="false">HYPERLINK("https://mncourtfraud.com/file/MCRO_27-CR-20-23521_Order for Conditional Release_2023-02-14_20240430090508.pdf","MCRO_27-CR-20-23521_Order for Conditional Release_2023-02-14_20240430090508.pdf")</f>
        <v>MCRO_27-CR-20-23521_Order for Conditional Release_2023-02-14_20240430090508.pdf</v>
      </c>
      <c r="F38" s="3" t="s">
        <v>1338</v>
      </c>
      <c r="G38" s="1" t="s">
        <v>1339</v>
      </c>
      <c r="H38" s="9" t="n">
        <v>44971</v>
      </c>
      <c r="I38" s="1" t="n">
        <v>1</v>
      </c>
      <c r="J38" s="3" t="s">
        <v>145</v>
      </c>
      <c r="K38" s="3" t="s">
        <v>1324</v>
      </c>
      <c r="L38" s="1" t="n">
        <v>9</v>
      </c>
      <c r="M38" s="1" t="n">
        <v>1</v>
      </c>
      <c r="N38" s="3" t="s">
        <v>1340</v>
      </c>
      <c r="O38" s="3" t="n">
        <v>189481</v>
      </c>
      <c r="P38" s="3" t="n">
        <v>20.99</v>
      </c>
      <c r="Q38" s="1" t="s">
        <v>1283</v>
      </c>
      <c r="R38" s="3" t="s">
        <v>1289</v>
      </c>
    </row>
    <row r="39" customFormat="false" ht="18.7" hidden="false" customHeight="true" outlineLevel="0" collapsed="false">
      <c r="A39" s="1" t="n">
        <v>38</v>
      </c>
      <c r="B39" s="7" t="str">
        <f aca="false">HYPERLINK("https://mncourtfraud.com/file/SAF.zip","SAF.zip")</f>
        <v>SAF.zip</v>
      </c>
      <c r="C39" s="8" t="str">
        <f aca="false">HYPERLINK("https://mncourtfraud.com/file/27-CR-20-23521.pdf","27-CR-20-23521")</f>
        <v>27-CR-20-23521</v>
      </c>
      <c r="D39" s="3" t="s">
        <v>1337</v>
      </c>
      <c r="E39" s="8" t="str">
        <f aca="false">HYPERLINK("https://mncourtfraud.com/file/MCRO_27-CR-20-23521_Order for Conditional Release_2023-02-14_20240430090508.pdf","MCRO_27-CR-20-23521_Order for Conditional Release_2023-02-14_20240430090508.pdf")</f>
        <v>MCRO_27-CR-20-23521_Order for Conditional Release_2023-02-14_20240430090508.pdf</v>
      </c>
      <c r="F39" s="3" t="s">
        <v>1338</v>
      </c>
      <c r="G39" s="1" t="s">
        <v>1341</v>
      </c>
      <c r="H39" s="9" t="n">
        <v>44971</v>
      </c>
      <c r="I39" s="1" t="n">
        <v>1</v>
      </c>
      <c r="J39" s="3" t="s">
        <v>55</v>
      </c>
      <c r="K39" s="3" t="s">
        <v>1281</v>
      </c>
      <c r="L39" s="1" t="n">
        <v>9</v>
      </c>
      <c r="M39" s="1" t="n">
        <v>2</v>
      </c>
      <c r="N39" s="3" t="s">
        <v>1342</v>
      </c>
      <c r="O39" s="3" t="n">
        <v>248306</v>
      </c>
      <c r="P39" s="3" t="n">
        <v>27.51</v>
      </c>
      <c r="Q39" s="1" t="s">
        <v>1283</v>
      </c>
      <c r="R39" s="3" t="s">
        <v>1289</v>
      </c>
    </row>
    <row r="40" customFormat="false" ht="18.7" hidden="false" customHeight="true" outlineLevel="0" collapsed="false">
      <c r="A40" s="1" t="n">
        <v>39</v>
      </c>
      <c r="B40" s="7" t="str">
        <f aca="false">HYPERLINK("https://mncourtfraud.com/file/SAF.zip","SAF.zip")</f>
        <v>SAF.zip</v>
      </c>
      <c r="C40" s="8" t="str">
        <f aca="false">HYPERLINK("https://mncourtfraud.com/file/27-CR-20-23521.pdf","27-CR-20-23521")</f>
        <v>27-CR-20-23521</v>
      </c>
      <c r="D40" s="3" t="s">
        <v>1337</v>
      </c>
      <c r="E40" s="8" t="str">
        <f aca="false">HYPERLINK("https://mncourtfraud.com/file/MCRO_27-CR-20-23521_Order for Conditional Release_2023-02-14_20240430090508.pdf","MCRO_27-CR-20-23521_Order for Conditional Release_2023-02-14_20240430090508.pdf")</f>
        <v>MCRO_27-CR-20-23521_Order for Conditional Release_2023-02-14_20240430090508.pdf</v>
      </c>
      <c r="F40" s="3" t="s">
        <v>1338</v>
      </c>
      <c r="G40" s="1" t="s">
        <v>1343</v>
      </c>
      <c r="H40" s="9" t="n">
        <v>44971</v>
      </c>
      <c r="J40" s="3" t="s">
        <v>1291</v>
      </c>
      <c r="K40" s="3" t="s">
        <v>1344</v>
      </c>
      <c r="L40" s="1" t="n">
        <v>9</v>
      </c>
      <c r="M40" s="1" t="n">
        <v>3</v>
      </c>
      <c r="N40" s="3" t="s">
        <v>1345</v>
      </c>
      <c r="O40" s="3" t="n">
        <v>886258</v>
      </c>
      <c r="P40" s="3" t="n">
        <v>98.18</v>
      </c>
      <c r="Q40" s="1" t="s">
        <v>1294</v>
      </c>
      <c r="R40" s="3" t="s">
        <v>1284</v>
      </c>
    </row>
    <row r="41" customFormat="false" ht="18.7" hidden="false" customHeight="true" outlineLevel="0" collapsed="false">
      <c r="A41" s="1" t="n">
        <v>40</v>
      </c>
      <c r="H41" s="9"/>
    </row>
    <row r="42" customFormat="false" ht="18.7" hidden="false" customHeight="true" outlineLevel="0" collapsed="false">
      <c r="A42" s="1" t="n">
        <v>41</v>
      </c>
      <c r="B42" s="7" t="str">
        <f aca="false">HYPERLINK("https://mncourtfraud.com/file/SAF.zip","SAF.zip")</f>
        <v>SAF.zip</v>
      </c>
      <c r="C42" s="8" t="str">
        <f aca="false">HYPERLINK("https://mncourtfraud.com/file/27-CR-20-26577.pdf","27-CR-20-26577")</f>
        <v>27-CR-20-26577</v>
      </c>
      <c r="D42" s="3" t="s">
        <v>1346</v>
      </c>
      <c r="E42" s="8" t="str">
        <f aca="false">HYPERLINK("https://mncourtfraud.com/file/MCRO_27-CR-20-26577_Amended Order_2024-01-12_20240430090558.pdf","MCRO_27-CR-20-26577_Amended Order_2024-01-12_20240430090558.pdf")</f>
        <v>MCRO_27-CR-20-26577_Amended Order_2024-01-12_20240430090558.pdf</v>
      </c>
      <c r="F42" s="3" t="s">
        <v>1347</v>
      </c>
      <c r="G42" s="1" t="s">
        <v>1348</v>
      </c>
      <c r="H42" s="9" t="n">
        <v>45303</v>
      </c>
      <c r="I42" s="1" t="n">
        <v>0</v>
      </c>
      <c r="J42" s="3" t="s">
        <v>64</v>
      </c>
      <c r="K42" s="3" t="s">
        <v>1324</v>
      </c>
      <c r="L42" s="1" t="n">
        <v>6</v>
      </c>
      <c r="M42" s="1" t="n">
        <v>1</v>
      </c>
      <c r="N42" s="3" t="s">
        <v>1349</v>
      </c>
      <c r="O42" s="3" t="n">
        <v>204060</v>
      </c>
      <c r="P42" s="3" t="n">
        <v>61.23</v>
      </c>
      <c r="Q42" s="1" t="s">
        <v>1283</v>
      </c>
      <c r="R42" s="3" t="s">
        <v>1289</v>
      </c>
    </row>
    <row r="43" customFormat="false" ht="18.7" hidden="false" customHeight="true" outlineLevel="0" collapsed="false">
      <c r="A43" s="1" t="n">
        <v>42</v>
      </c>
      <c r="B43" s="7" t="str">
        <f aca="false">HYPERLINK("https://mncourtfraud.com/file/SAF.zip","SAF.zip")</f>
        <v>SAF.zip</v>
      </c>
      <c r="C43" s="8" t="str">
        <f aca="false">HYPERLINK("https://mncourtfraud.com/file/27-CR-20-26577.pdf","27-CR-20-26577")</f>
        <v>27-CR-20-26577</v>
      </c>
      <c r="D43" s="3" t="s">
        <v>1346</v>
      </c>
      <c r="E43" s="8" t="str">
        <f aca="false">HYPERLINK("https://mncourtfraud.com/file/MCRO_27-CR-20-26577_Amended Order_2024-01-12_20240430090558.pdf","MCRO_27-CR-20-26577_Amended Order_2024-01-12_20240430090558.pdf")</f>
        <v>MCRO_27-CR-20-26577_Amended Order_2024-01-12_20240430090558.pdf</v>
      </c>
      <c r="F43" s="3" t="s">
        <v>1347</v>
      </c>
      <c r="G43" s="1" t="s">
        <v>1350</v>
      </c>
      <c r="H43" s="9" t="n">
        <v>45303</v>
      </c>
      <c r="I43" s="1" t="n">
        <v>4</v>
      </c>
      <c r="J43" s="3" t="s">
        <v>1286</v>
      </c>
      <c r="K43" s="3" t="s">
        <v>1351</v>
      </c>
      <c r="L43" s="1" t="n">
        <v>6</v>
      </c>
      <c r="M43" s="1" t="n">
        <v>2</v>
      </c>
      <c r="N43" s="3" t="s">
        <v>1352</v>
      </c>
      <c r="O43" s="3" t="n">
        <v>246468</v>
      </c>
      <c r="P43" s="3" t="n">
        <v>73.96</v>
      </c>
      <c r="Q43" s="1" t="s">
        <v>1283</v>
      </c>
      <c r="R43" s="3" t="s">
        <v>1289</v>
      </c>
    </row>
    <row r="44" customFormat="false" ht="18.7" hidden="false" customHeight="true" outlineLevel="0" collapsed="false">
      <c r="A44" s="1" t="n">
        <v>43</v>
      </c>
      <c r="B44" s="7" t="str">
        <f aca="false">HYPERLINK("https://mncourtfraud.com/file/SAF.zip","SAF.zip")</f>
        <v>SAF.zip</v>
      </c>
      <c r="C44" s="8" t="str">
        <f aca="false">HYPERLINK("https://mncourtfraud.com/file/27-CR-20-26577.pdf","27-CR-20-26577")</f>
        <v>27-CR-20-26577</v>
      </c>
      <c r="D44" s="3" t="s">
        <v>1346</v>
      </c>
      <c r="E44" s="8" t="str">
        <f aca="false">HYPERLINK("https://mncourtfraud.com/file/MCRO_27-CR-20-26577_Amended Order_2024-01-12_20240430090558.pdf","MCRO_27-CR-20-26577_Amended Order_2024-01-12_20240430090558.pdf")</f>
        <v>MCRO_27-CR-20-26577_Amended Order_2024-01-12_20240430090558.pdf</v>
      </c>
      <c r="F44" s="3" t="s">
        <v>1347</v>
      </c>
      <c r="G44" s="1" t="s">
        <v>1350</v>
      </c>
      <c r="H44" s="9" t="n">
        <v>45303</v>
      </c>
      <c r="I44" s="1" t="n">
        <v>4</v>
      </c>
      <c r="J44" s="3" t="s">
        <v>1286</v>
      </c>
      <c r="K44" s="3" t="s">
        <v>1351</v>
      </c>
      <c r="L44" s="1" t="n">
        <v>6</v>
      </c>
      <c r="M44" s="1" t="n">
        <v>3</v>
      </c>
      <c r="N44" s="3" t="s">
        <v>1352</v>
      </c>
      <c r="O44" s="3" t="n">
        <v>246468</v>
      </c>
      <c r="P44" s="3" t="n">
        <v>73.96</v>
      </c>
      <c r="Q44" s="1" t="s">
        <v>1283</v>
      </c>
      <c r="R44" s="3" t="s">
        <v>1289</v>
      </c>
    </row>
    <row r="45" customFormat="false" ht="18.7" hidden="false" customHeight="true" outlineLevel="0" collapsed="false">
      <c r="A45" s="1" t="n">
        <v>44</v>
      </c>
      <c r="B45" s="7" t="str">
        <f aca="false">HYPERLINK("https://mncourtfraud.com/file/SAF.zip","SAF.zip")</f>
        <v>SAF.zip</v>
      </c>
      <c r="C45" s="8" t="str">
        <f aca="false">HYPERLINK("https://mncourtfraud.com/file/27-CR-20-26577.pdf","27-CR-20-26577")</f>
        <v>27-CR-20-26577</v>
      </c>
      <c r="D45" s="3" t="s">
        <v>1346</v>
      </c>
      <c r="E45" s="8" t="str">
        <f aca="false">HYPERLINK("https://mncourtfraud.com/file/MCRO_27-CR-20-26577_Amended Order_2024-01-12_20240430090558.pdf","MCRO_27-CR-20-26577_Amended Order_2024-01-12_20240430090558.pdf")</f>
        <v>MCRO_27-CR-20-26577_Amended Order_2024-01-12_20240430090558.pdf</v>
      </c>
      <c r="F45" s="3" t="s">
        <v>1347</v>
      </c>
      <c r="G45" s="1" t="s">
        <v>1353</v>
      </c>
      <c r="H45" s="9" t="n">
        <v>45303</v>
      </c>
      <c r="J45" s="3" t="s">
        <v>1291</v>
      </c>
      <c r="K45" s="3" t="s">
        <v>1354</v>
      </c>
      <c r="L45" s="1" t="n">
        <v>6</v>
      </c>
      <c r="M45" s="1" t="n">
        <v>4</v>
      </c>
      <c r="N45" s="3" t="s">
        <v>1355</v>
      </c>
      <c r="O45" s="3" t="n">
        <v>316866</v>
      </c>
      <c r="P45" s="3" t="n">
        <v>95.08</v>
      </c>
      <c r="Q45" s="1" t="s">
        <v>1294</v>
      </c>
      <c r="R45" s="3" t="s">
        <v>1284</v>
      </c>
    </row>
    <row r="46" customFormat="false" ht="18.7" hidden="false" customHeight="true" outlineLevel="0" collapsed="false">
      <c r="A46" s="1" t="n">
        <v>45</v>
      </c>
      <c r="H46" s="9"/>
    </row>
    <row r="47" customFormat="false" ht="18.7" hidden="false" customHeight="true" outlineLevel="0" collapsed="false">
      <c r="A47" s="1" t="n">
        <v>46</v>
      </c>
      <c r="B47" s="7" t="str">
        <f aca="false">HYPERLINK("https://mncourtfraud.com/file/SAF.zip","SAF.zip")</f>
        <v>SAF.zip</v>
      </c>
      <c r="C47" s="8" t="str">
        <f aca="false">HYPERLINK("https://mncourtfraud.com/file/27-CR-20-27550.pdf","27-CR-20-27550")</f>
        <v>27-CR-20-27550</v>
      </c>
      <c r="D47" s="3" t="s">
        <v>1356</v>
      </c>
      <c r="E47" s="8" t="str">
        <f aca="false">HYPERLINK("https://mncourtfraud.com/file/MCRO_27-CR-20-27550_Order for Conditional Release_2021-04-15_20240430090720.pdf","MCRO_27-CR-20-27550_Order for Conditional Release_2021-04-15_20240430090720.pdf")</f>
        <v>MCRO_27-CR-20-27550_Order for Conditional Release_2021-04-15_20240430090720.pdf</v>
      </c>
      <c r="F47" s="3" t="s">
        <v>1338</v>
      </c>
      <c r="G47" s="1" t="s">
        <v>1357</v>
      </c>
      <c r="H47" s="9" t="n">
        <v>44301</v>
      </c>
      <c r="I47" s="1" t="n">
        <v>0</v>
      </c>
      <c r="J47" s="3" t="s">
        <v>344</v>
      </c>
      <c r="K47" s="3" t="s">
        <v>1358</v>
      </c>
      <c r="L47" s="1" t="n">
        <v>10</v>
      </c>
      <c r="M47" s="1" t="n">
        <v>54</v>
      </c>
      <c r="N47" s="3" t="s">
        <v>1359</v>
      </c>
      <c r="O47" s="3" t="n">
        <v>13414413</v>
      </c>
      <c r="P47" s="3" t="n">
        <v>99.08</v>
      </c>
      <c r="Q47" s="1" t="s">
        <v>1283</v>
      </c>
      <c r="R47" s="3" t="s">
        <v>1284</v>
      </c>
    </row>
    <row r="48" customFormat="false" ht="18.7" hidden="false" customHeight="true" outlineLevel="0" collapsed="false">
      <c r="A48" s="1" t="n">
        <v>47</v>
      </c>
      <c r="B48" s="7" t="str">
        <f aca="false">HYPERLINK("https://mncourtfraud.com/file/SAF.zip","SAF.zip")</f>
        <v>SAF.zip</v>
      </c>
      <c r="C48" s="8" t="str">
        <f aca="false">HYPERLINK("https://mncourtfraud.com/file/27-CR-20-27550.pdf","27-CR-20-27550")</f>
        <v>27-CR-20-27550</v>
      </c>
      <c r="D48" s="3" t="s">
        <v>1356</v>
      </c>
      <c r="E48" s="8" t="str">
        <f aca="false">HYPERLINK("https://mncourtfraud.com/file/MCRO_27-CR-20-27550_Order for Conditional Release_2021-04-15_20240430090720.pdf","MCRO_27-CR-20-27550_Order for Conditional Release_2021-04-15_20240430090720.pdf")</f>
        <v>MCRO_27-CR-20-27550_Order for Conditional Release_2021-04-15_20240430090720.pdf</v>
      </c>
      <c r="F48" s="3" t="s">
        <v>1338</v>
      </c>
      <c r="G48" s="1" t="s">
        <v>1360</v>
      </c>
      <c r="H48" s="9" t="n">
        <v>44301</v>
      </c>
      <c r="I48" s="1" t="n">
        <v>1</v>
      </c>
      <c r="J48" s="3" t="s">
        <v>1286</v>
      </c>
      <c r="K48" s="3" t="s">
        <v>1361</v>
      </c>
      <c r="L48" s="1" t="n">
        <v>10</v>
      </c>
      <c r="M48" s="1" t="n">
        <v>62</v>
      </c>
      <c r="N48" s="3" t="s">
        <v>1362</v>
      </c>
      <c r="O48" s="3" t="n">
        <v>13472394</v>
      </c>
      <c r="P48" s="3" t="n">
        <v>99.51</v>
      </c>
      <c r="Q48" s="1" t="s">
        <v>1283</v>
      </c>
      <c r="R48" s="3" t="s">
        <v>1289</v>
      </c>
    </row>
    <row r="49" customFormat="false" ht="18.7" hidden="false" customHeight="true" outlineLevel="0" collapsed="false">
      <c r="A49" s="1" t="n">
        <v>48</v>
      </c>
      <c r="B49" s="7" t="str">
        <f aca="false">HYPERLINK("https://mncourtfraud.com/file/SAF.zip","SAF.zip")</f>
        <v>SAF.zip</v>
      </c>
      <c r="C49" s="8" t="str">
        <f aca="false">HYPERLINK("https://mncourtfraud.com/file/27-CR-20-27550.pdf","27-CR-20-27550")</f>
        <v>27-CR-20-27550</v>
      </c>
      <c r="D49" s="3" t="s">
        <v>1356</v>
      </c>
      <c r="E49" s="8" t="str">
        <f aca="false">HYPERLINK("https://mncourtfraud.com/file/MCRO_27-CR-20-27550_Order for Conditional Release_2021-04-15_20240430090720.pdf","MCRO_27-CR-20-27550_Order for Conditional Release_2021-04-15_20240430090720.pdf")</f>
        <v>MCRO_27-CR-20-27550_Order for Conditional Release_2021-04-15_20240430090720.pdf</v>
      </c>
      <c r="F49" s="3" t="s">
        <v>1338</v>
      </c>
      <c r="G49" s="1" t="s">
        <v>1363</v>
      </c>
      <c r="H49" s="9" t="n">
        <v>44301</v>
      </c>
      <c r="J49" s="3" t="s">
        <v>1291</v>
      </c>
      <c r="K49" s="3" t="s">
        <v>1364</v>
      </c>
      <c r="L49" s="1" t="n">
        <v>10</v>
      </c>
      <c r="M49" s="1" t="n">
        <v>63</v>
      </c>
      <c r="N49" s="3" t="s">
        <v>1365</v>
      </c>
      <c r="O49" s="3" t="n">
        <v>13521925</v>
      </c>
      <c r="P49" s="3" t="n">
        <v>99.88</v>
      </c>
      <c r="Q49" s="1" t="s">
        <v>1294</v>
      </c>
      <c r="R49" s="3" t="s">
        <v>1284</v>
      </c>
    </row>
    <row r="50" customFormat="false" ht="18.7" hidden="false" customHeight="true" outlineLevel="0" collapsed="false">
      <c r="A50" s="1" t="n">
        <v>49</v>
      </c>
      <c r="H50" s="9"/>
    </row>
    <row r="51" customFormat="false" ht="18.7" hidden="false" customHeight="true" outlineLevel="0" collapsed="false">
      <c r="A51" s="1" t="n">
        <v>50</v>
      </c>
      <c r="B51" s="7" t="str">
        <f aca="false">HYPERLINK("https://mncourtfraud.com/file/SAF.zip","SAF.zip")</f>
        <v>SAF.zip</v>
      </c>
      <c r="C51" s="8" t="str">
        <f aca="false">HYPERLINK("https://mncourtfraud.com/file/27-CR-21-3797.pdf","27-CR-21-3797")</f>
        <v>27-CR-21-3797</v>
      </c>
      <c r="D51" s="3" t="s">
        <v>1366</v>
      </c>
      <c r="E51" s="8" t="str">
        <f aca="false">HYPERLINK("https://mncourtfraud.com/file/MCRO_27-CR-21-3797_Order Reinstating Forfeited Cash or Surety Bond_2024-01-22_20240430080056.pdf","MCRO_27-CR-21-3797_Order Reinstating Forfeited Cash or Surety Bond_2024-01-22_20240430080056.pdf")</f>
        <v>MCRO_27-CR-21-3797_Order Reinstating Forfeited Cash or Surety Bond_2024-01-22_20240430080056.pdf</v>
      </c>
      <c r="F51" s="3" t="s">
        <v>1329</v>
      </c>
      <c r="G51" s="1" t="s">
        <v>1367</v>
      </c>
      <c r="H51" s="9" t="n">
        <v>45313</v>
      </c>
      <c r="I51" s="1" t="n">
        <v>0</v>
      </c>
      <c r="J51" s="3" t="s">
        <v>1368</v>
      </c>
      <c r="K51" s="3" t="s">
        <v>1281</v>
      </c>
      <c r="L51" s="1" t="n">
        <v>5</v>
      </c>
      <c r="M51" s="1" t="n">
        <v>1</v>
      </c>
      <c r="N51" s="3" t="s">
        <v>1369</v>
      </c>
      <c r="O51" s="3" t="n">
        <v>212018</v>
      </c>
      <c r="P51" s="3" t="n">
        <v>65.29</v>
      </c>
      <c r="Q51" s="1" t="s">
        <v>1283</v>
      </c>
      <c r="R51" s="3" t="s">
        <v>1284</v>
      </c>
    </row>
    <row r="52" customFormat="false" ht="18.7" hidden="false" customHeight="true" outlineLevel="0" collapsed="false">
      <c r="A52" s="1" t="n">
        <v>51</v>
      </c>
      <c r="B52" s="7" t="str">
        <f aca="false">HYPERLINK("https://mncourtfraud.com/file/SAF.zip","SAF.zip")</f>
        <v>SAF.zip</v>
      </c>
      <c r="C52" s="8" t="str">
        <f aca="false">HYPERLINK("https://mncourtfraud.com/file/27-CR-21-3797.pdf","27-CR-21-3797")</f>
        <v>27-CR-21-3797</v>
      </c>
      <c r="D52" s="3" t="s">
        <v>1366</v>
      </c>
      <c r="E52" s="8" t="str">
        <f aca="false">HYPERLINK("https://mncourtfraud.com/file/MCRO_27-CR-21-3797_Order Reinstating Forfeited Cash or Surety Bond_2024-01-22_20240430080056.pdf","MCRO_27-CR-21-3797_Order Reinstating Forfeited Cash or Surety Bond_2024-01-22_20240430080056.pdf")</f>
        <v>MCRO_27-CR-21-3797_Order Reinstating Forfeited Cash or Surety Bond_2024-01-22_20240430080056.pdf</v>
      </c>
      <c r="F52" s="3" t="s">
        <v>1329</v>
      </c>
      <c r="G52" s="1" t="s">
        <v>1370</v>
      </c>
      <c r="H52" s="9" t="n">
        <v>45313</v>
      </c>
      <c r="I52" s="1" t="n">
        <v>1</v>
      </c>
      <c r="J52" s="3" t="s">
        <v>1286</v>
      </c>
      <c r="K52" s="3" t="s">
        <v>1371</v>
      </c>
      <c r="L52" s="1" t="n">
        <v>5</v>
      </c>
      <c r="M52" s="1" t="n">
        <v>2</v>
      </c>
      <c r="N52" s="3" t="s">
        <v>1372</v>
      </c>
      <c r="O52" s="3" t="n">
        <v>259552</v>
      </c>
      <c r="P52" s="3" t="n">
        <v>79.93</v>
      </c>
      <c r="Q52" s="1" t="s">
        <v>1283</v>
      </c>
      <c r="R52" s="3" t="s">
        <v>1289</v>
      </c>
    </row>
    <row r="53" customFormat="false" ht="18.7" hidden="false" customHeight="true" outlineLevel="0" collapsed="false">
      <c r="A53" s="1" t="n">
        <v>52</v>
      </c>
      <c r="B53" s="7" t="str">
        <f aca="false">HYPERLINK("https://mncourtfraud.com/file/SAF.zip","SAF.zip")</f>
        <v>SAF.zip</v>
      </c>
      <c r="C53" s="8" t="str">
        <f aca="false">HYPERLINK("https://mncourtfraud.com/file/27-CR-21-3797.pdf","27-CR-21-3797")</f>
        <v>27-CR-21-3797</v>
      </c>
      <c r="D53" s="3" t="s">
        <v>1366</v>
      </c>
      <c r="E53" s="8" t="str">
        <f aca="false">HYPERLINK("https://mncourtfraud.com/file/MCRO_27-CR-21-3797_Order Reinstating Forfeited Cash or Surety Bond_2024-01-22_20240430080056.pdf","MCRO_27-CR-21-3797_Order Reinstating Forfeited Cash or Surety Bond_2024-01-22_20240430080056.pdf")</f>
        <v>MCRO_27-CR-21-3797_Order Reinstating Forfeited Cash or Surety Bond_2024-01-22_20240430080056.pdf</v>
      </c>
      <c r="F53" s="3" t="s">
        <v>1329</v>
      </c>
      <c r="G53" s="1" t="s">
        <v>1373</v>
      </c>
      <c r="H53" s="9" t="n">
        <v>45313</v>
      </c>
      <c r="J53" s="3" t="s">
        <v>1291</v>
      </c>
      <c r="K53" s="3" t="s">
        <v>1374</v>
      </c>
      <c r="L53" s="1" t="n">
        <v>5</v>
      </c>
      <c r="M53" s="1" t="n">
        <v>3</v>
      </c>
      <c r="N53" s="3" t="s">
        <v>1375</v>
      </c>
      <c r="O53" s="3" t="n">
        <v>308341</v>
      </c>
      <c r="P53" s="3" t="n">
        <v>94.95</v>
      </c>
      <c r="Q53" s="1" t="s">
        <v>1294</v>
      </c>
      <c r="R53" s="3" t="s">
        <v>1284</v>
      </c>
    </row>
    <row r="54" customFormat="false" ht="18.7" hidden="false" customHeight="true" outlineLevel="0" collapsed="false">
      <c r="A54" s="1" t="n">
        <v>53</v>
      </c>
      <c r="H54" s="9"/>
    </row>
    <row r="55" customFormat="false" ht="18.7" hidden="false" customHeight="true" outlineLevel="0" collapsed="false">
      <c r="A55" s="1" t="n">
        <v>54</v>
      </c>
      <c r="B55" s="7" t="str">
        <f aca="false">HYPERLINK("https://mncourtfraud.com/file/SAF.zip","SAF.zip")</f>
        <v>SAF.zip</v>
      </c>
      <c r="C55" s="8" t="str">
        <f aca="false">HYPERLINK("https://mncourtfraud.com/file/27-CR-21-6710.pdf","27-CR-21-6710")</f>
        <v>27-CR-21-6710</v>
      </c>
      <c r="D55" s="3" t="s">
        <v>1257</v>
      </c>
      <c r="E55" s="8" t="str">
        <f aca="false">HYPERLINK("https://mncourtfraud.com/file/MCRO_27-CR-21-6710_Order-Evaluation for Competency to Proceed (Rule 20.01)_2022-04-19_20240430080411.pdf","MCRO_27-CR-21-6710_Order-Evaluation for Competency to Proceed (Rule 20.01)_2022-04-19_20240430080411.pdf")</f>
        <v>MCRO_27-CR-21-6710_Order-Evaluation for Competency to Proceed (Rule 20.01)_2022-04-19_20240430080411.pdf</v>
      </c>
      <c r="F55" s="3" t="s">
        <v>1376</v>
      </c>
      <c r="G55" s="1" t="s">
        <v>1377</v>
      </c>
      <c r="H55" s="9" t="n">
        <v>44670</v>
      </c>
      <c r="I55" s="1" t="n">
        <v>1</v>
      </c>
      <c r="J55" s="3" t="s">
        <v>1368</v>
      </c>
      <c r="K55" s="3" t="s">
        <v>1281</v>
      </c>
      <c r="L55" s="1" t="n">
        <v>5</v>
      </c>
      <c r="M55" s="1" t="n">
        <v>1</v>
      </c>
      <c r="N55" s="3" t="s">
        <v>1378</v>
      </c>
      <c r="O55" s="3" t="n">
        <v>315024</v>
      </c>
      <c r="P55" s="3" t="n">
        <v>31.42</v>
      </c>
      <c r="Q55" s="1" t="s">
        <v>1283</v>
      </c>
      <c r="R55" s="3" t="s">
        <v>1284</v>
      </c>
    </row>
    <row r="56" customFormat="false" ht="18.7" hidden="false" customHeight="true" outlineLevel="0" collapsed="false">
      <c r="A56" s="1" t="n">
        <v>55</v>
      </c>
      <c r="B56" s="7" t="str">
        <f aca="false">HYPERLINK("https://mncourtfraud.com/file/SAF.zip","SAF.zip")</f>
        <v>SAF.zip</v>
      </c>
      <c r="C56" s="8" t="str">
        <f aca="false">HYPERLINK("https://mncourtfraud.com/file/27-CR-21-6710.pdf","27-CR-21-6710")</f>
        <v>27-CR-21-6710</v>
      </c>
      <c r="D56" s="3" t="s">
        <v>1257</v>
      </c>
      <c r="E56" s="8" t="str">
        <f aca="false">HYPERLINK("https://mncourtfraud.com/file/MCRO_27-CR-21-6710_Order-Evaluation for Competency to Proceed (Rule 20.01)_2022-04-19_20240430080411.pdf","MCRO_27-CR-21-6710_Order-Evaluation for Competency to Proceed (Rule 20.01)_2022-04-19_20240430080411.pdf")</f>
        <v>MCRO_27-CR-21-6710_Order-Evaluation for Competency to Proceed (Rule 20.01)_2022-04-19_20240430080411.pdf</v>
      </c>
      <c r="F56" s="3" t="s">
        <v>1376</v>
      </c>
      <c r="G56" s="1" t="s">
        <v>1379</v>
      </c>
      <c r="H56" s="9" t="n">
        <v>44670</v>
      </c>
      <c r="J56" s="3" t="s">
        <v>1291</v>
      </c>
      <c r="K56" s="3" t="s">
        <v>1380</v>
      </c>
      <c r="L56" s="1" t="n">
        <v>5</v>
      </c>
      <c r="M56" s="1" t="n">
        <v>2</v>
      </c>
      <c r="N56" s="3" t="s">
        <v>1381</v>
      </c>
      <c r="O56" s="3" t="n">
        <v>986277</v>
      </c>
      <c r="P56" s="3" t="n">
        <v>98.37</v>
      </c>
      <c r="Q56" s="1" t="s">
        <v>1294</v>
      </c>
      <c r="R56" s="3" t="s">
        <v>1284</v>
      </c>
    </row>
    <row r="57" customFormat="false" ht="18.7" hidden="false" customHeight="true" outlineLevel="0" collapsed="false">
      <c r="A57" s="1" t="n">
        <v>56</v>
      </c>
      <c r="H57" s="9"/>
    </row>
    <row r="58" customFormat="false" ht="18.7" hidden="false" customHeight="true" outlineLevel="0" collapsed="false">
      <c r="A58" s="1" t="n">
        <v>57</v>
      </c>
      <c r="B58" s="7" t="str">
        <f aca="false">HYPERLINK("https://mncourtfraud.com/file/SAF.zip","SAF.zip")</f>
        <v>SAF.zip</v>
      </c>
      <c r="C58" s="8" t="str">
        <f aca="false">HYPERLINK("https://mncourtfraud.com/file/27-CR-21-6710.pdf","27-CR-21-6710")</f>
        <v>27-CR-21-6710</v>
      </c>
      <c r="D58" s="3" t="s">
        <v>1257</v>
      </c>
      <c r="E58" s="8" t="str">
        <f aca="false">HYPERLINK("https://mncourtfraud.com/file/MCRO_27-CR-21-6710_Order for Conditional Release_2022-04-20_20240430080407.pdf","MCRO_27-CR-21-6710_Order for Conditional Release_2022-04-20_20240430080407.pdf")</f>
        <v>MCRO_27-CR-21-6710_Order for Conditional Release_2022-04-20_20240430080407.pdf</v>
      </c>
      <c r="F58" s="3" t="s">
        <v>1338</v>
      </c>
      <c r="G58" s="1" t="s">
        <v>1382</v>
      </c>
      <c r="H58" s="9" t="n">
        <v>44671</v>
      </c>
      <c r="I58" s="1" t="n">
        <v>0</v>
      </c>
      <c r="J58" s="3" t="s">
        <v>1368</v>
      </c>
      <c r="K58" s="3" t="s">
        <v>1281</v>
      </c>
      <c r="L58" s="1" t="n">
        <v>5</v>
      </c>
      <c r="M58" s="1" t="n">
        <v>1</v>
      </c>
      <c r="N58" s="3" t="s">
        <v>1383</v>
      </c>
      <c r="O58" s="3" t="n">
        <v>193330</v>
      </c>
      <c r="P58" s="3" t="n">
        <v>64.65</v>
      </c>
      <c r="Q58" s="1" t="s">
        <v>1283</v>
      </c>
      <c r="R58" s="3" t="s">
        <v>1284</v>
      </c>
    </row>
    <row r="59" customFormat="false" ht="18.7" hidden="false" customHeight="true" outlineLevel="0" collapsed="false">
      <c r="A59" s="1" t="n">
        <v>58</v>
      </c>
      <c r="B59" s="7" t="str">
        <f aca="false">HYPERLINK("https://mncourtfraud.com/file/SAF.zip","SAF.zip")</f>
        <v>SAF.zip</v>
      </c>
      <c r="C59" s="8" t="str">
        <f aca="false">HYPERLINK("https://mncourtfraud.com/file/27-CR-21-6710.pdf","27-CR-21-6710")</f>
        <v>27-CR-21-6710</v>
      </c>
      <c r="D59" s="3" t="s">
        <v>1257</v>
      </c>
      <c r="E59" s="8" t="str">
        <f aca="false">HYPERLINK("https://mncourtfraud.com/file/MCRO_27-CR-21-6710_Order for Conditional Release_2022-04-20_20240430080407.pdf","MCRO_27-CR-21-6710_Order for Conditional Release_2022-04-20_20240430080407.pdf")</f>
        <v>MCRO_27-CR-21-6710_Order for Conditional Release_2022-04-20_20240430080407.pdf</v>
      </c>
      <c r="F59" s="3" t="s">
        <v>1338</v>
      </c>
      <c r="G59" s="1" t="s">
        <v>1384</v>
      </c>
      <c r="H59" s="9" t="n">
        <v>44671</v>
      </c>
      <c r="I59" s="1" t="n">
        <v>1</v>
      </c>
      <c r="J59" s="3" t="s">
        <v>1286</v>
      </c>
      <c r="K59" s="3" t="s">
        <v>1385</v>
      </c>
      <c r="L59" s="1" t="n">
        <v>5</v>
      </c>
      <c r="M59" s="1" t="n">
        <v>2</v>
      </c>
      <c r="N59" s="3" t="s">
        <v>1386</v>
      </c>
      <c r="O59" s="3" t="n">
        <v>233136</v>
      </c>
      <c r="P59" s="3" t="n">
        <v>77.96</v>
      </c>
      <c r="Q59" s="1" t="s">
        <v>1283</v>
      </c>
      <c r="R59" s="3" t="s">
        <v>1289</v>
      </c>
    </row>
    <row r="60" customFormat="false" ht="18.7" hidden="false" customHeight="true" outlineLevel="0" collapsed="false">
      <c r="A60" s="1" t="n">
        <v>59</v>
      </c>
      <c r="B60" s="7" t="str">
        <f aca="false">HYPERLINK("https://mncourtfraud.com/file/SAF.zip","SAF.zip")</f>
        <v>SAF.zip</v>
      </c>
      <c r="C60" s="8" t="str">
        <f aca="false">HYPERLINK("https://mncourtfraud.com/file/27-CR-21-6710.pdf","27-CR-21-6710")</f>
        <v>27-CR-21-6710</v>
      </c>
      <c r="D60" s="3" t="s">
        <v>1257</v>
      </c>
      <c r="E60" s="8" t="str">
        <f aca="false">HYPERLINK("https://mncourtfraud.com/file/MCRO_27-CR-21-6710_Order for Conditional Release_2022-04-20_20240430080407.pdf","MCRO_27-CR-21-6710_Order for Conditional Release_2022-04-20_20240430080407.pdf")</f>
        <v>MCRO_27-CR-21-6710_Order for Conditional Release_2022-04-20_20240430080407.pdf</v>
      </c>
      <c r="F60" s="3" t="s">
        <v>1338</v>
      </c>
      <c r="G60" s="1" t="s">
        <v>1387</v>
      </c>
      <c r="H60" s="9" t="n">
        <v>44671</v>
      </c>
      <c r="J60" s="3" t="s">
        <v>1291</v>
      </c>
      <c r="K60" s="3" t="s">
        <v>1388</v>
      </c>
      <c r="L60" s="1" t="n">
        <v>5</v>
      </c>
      <c r="M60" s="1" t="n">
        <v>3</v>
      </c>
      <c r="N60" s="3" t="s">
        <v>1389</v>
      </c>
      <c r="O60" s="3" t="n">
        <v>282672</v>
      </c>
      <c r="P60" s="3" t="n">
        <v>94.52</v>
      </c>
      <c r="Q60" s="1" t="s">
        <v>1294</v>
      </c>
      <c r="R60" s="3" t="s">
        <v>1284</v>
      </c>
    </row>
    <row r="61" customFormat="false" ht="18.7" hidden="false" customHeight="true" outlineLevel="0" collapsed="false">
      <c r="A61" s="1" t="n">
        <v>60</v>
      </c>
      <c r="H61" s="9"/>
    </row>
    <row r="62" customFormat="false" ht="18.7" hidden="false" customHeight="true" outlineLevel="0" collapsed="false">
      <c r="A62" s="1" t="n">
        <v>61</v>
      </c>
      <c r="B62" s="7" t="str">
        <f aca="false">HYPERLINK("https://mncourtfraud.com/file/SAF.zip","SAF.zip")</f>
        <v>SAF.zip</v>
      </c>
      <c r="C62" s="8" t="str">
        <f aca="false">HYPERLINK("https://mncourtfraud.com/file/27-CR-21-8412.pdf","27-CR-21-8412")</f>
        <v>27-CR-21-8412</v>
      </c>
      <c r="D62" s="3" t="s">
        <v>1390</v>
      </c>
      <c r="E62" s="8" t="str">
        <f aca="false">HYPERLINK("https://mncourtfraud.com/file/MCRO_27-CR-21-8412_Order to Transport_2023-04-11_20240430081743.pdf","MCRO_27-CR-21-8412_Order to Transport_2023-04-11_20240430081743.pdf")</f>
        <v>MCRO_27-CR-21-8412_Order to Transport_2023-04-11_20240430081743.pdf</v>
      </c>
      <c r="F62" s="3" t="s">
        <v>1391</v>
      </c>
      <c r="G62" s="1" t="s">
        <v>1392</v>
      </c>
      <c r="H62" s="9" t="n">
        <v>45027</v>
      </c>
      <c r="I62" s="1" t="n">
        <v>0</v>
      </c>
      <c r="J62" s="3" t="s">
        <v>55</v>
      </c>
      <c r="K62" s="3" t="s">
        <v>1281</v>
      </c>
      <c r="L62" s="1" t="n">
        <v>5</v>
      </c>
      <c r="M62" s="1" t="n">
        <v>1</v>
      </c>
      <c r="N62" s="3" t="s">
        <v>1393</v>
      </c>
      <c r="O62" s="3" t="n">
        <v>109718</v>
      </c>
      <c r="P62" s="3" t="n">
        <v>50.91</v>
      </c>
      <c r="Q62" s="1" t="s">
        <v>1283</v>
      </c>
      <c r="R62" s="3" t="s">
        <v>1284</v>
      </c>
    </row>
    <row r="63" customFormat="false" ht="18.7" hidden="false" customHeight="true" outlineLevel="0" collapsed="false">
      <c r="A63" s="1" t="n">
        <v>62</v>
      </c>
      <c r="B63" s="7" t="str">
        <f aca="false">HYPERLINK("https://mncourtfraud.com/file/SAF.zip","SAF.zip")</f>
        <v>SAF.zip</v>
      </c>
      <c r="C63" s="8" t="str">
        <f aca="false">HYPERLINK("https://mncourtfraud.com/file/27-CR-21-8412.pdf","27-CR-21-8412")</f>
        <v>27-CR-21-8412</v>
      </c>
      <c r="D63" s="3" t="s">
        <v>1390</v>
      </c>
      <c r="E63" s="8" t="str">
        <f aca="false">HYPERLINK("https://mncourtfraud.com/file/MCRO_27-CR-21-8412_Order to Transport_2023-04-11_20240430081743.pdf","MCRO_27-CR-21-8412_Order to Transport_2023-04-11_20240430081743.pdf")</f>
        <v>MCRO_27-CR-21-8412_Order to Transport_2023-04-11_20240430081743.pdf</v>
      </c>
      <c r="F63" s="3" t="s">
        <v>1391</v>
      </c>
      <c r="G63" s="1" t="s">
        <v>1394</v>
      </c>
      <c r="H63" s="9" t="n">
        <v>45027</v>
      </c>
      <c r="I63" s="1" t="n">
        <v>1</v>
      </c>
      <c r="J63" s="3" t="s">
        <v>1286</v>
      </c>
      <c r="K63" s="3" t="s">
        <v>1395</v>
      </c>
      <c r="L63" s="1" t="n">
        <v>5</v>
      </c>
      <c r="M63" s="1" t="n">
        <v>2</v>
      </c>
      <c r="N63" s="3" t="s">
        <v>1396</v>
      </c>
      <c r="O63" s="3" t="n">
        <v>150105</v>
      </c>
      <c r="P63" s="3" t="n">
        <v>69.65</v>
      </c>
      <c r="Q63" s="1" t="s">
        <v>1283</v>
      </c>
      <c r="R63" s="3" t="s">
        <v>1289</v>
      </c>
    </row>
    <row r="64" customFormat="false" ht="18.7" hidden="false" customHeight="true" outlineLevel="0" collapsed="false">
      <c r="A64" s="1" t="n">
        <v>63</v>
      </c>
      <c r="B64" s="7" t="str">
        <f aca="false">HYPERLINK("https://mncourtfraud.com/file/SAF.zip","SAF.zip")</f>
        <v>SAF.zip</v>
      </c>
      <c r="C64" s="8" t="str">
        <f aca="false">HYPERLINK("https://mncourtfraud.com/file/27-CR-21-8412.pdf","27-CR-21-8412")</f>
        <v>27-CR-21-8412</v>
      </c>
      <c r="D64" s="3" t="s">
        <v>1390</v>
      </c>
      <c r="E64" s="8" t="str">
        <f aca="false">HYPERLINK("https://mncourtfraud.com/file/MCRO_27-CR-21-8412_Order to Transport_2023-04-11_20240430081743.pdf","MCRO_27-CR-21-8412_Order to Transport_2023-04-11_20240430081743.pdf")</f>
        <v>MCRO_27-CR-21-8412_Order to Transport_2023-04-11_20240430081743.pdf</v>
      </c>
      <c r="F64" s="3" t="s">
        <v>1391</v>
      </c>
      <c r="G64" s="1" t="s">
        <v>1397</v>
      </c>
      <c r="H64" s="9" t="n">
        <v>45027</v>
      </c>
      <c r="J64" s="3" t="s">
        <v>1291</v>
      </c>
      <c r="K64" s="3" t="s">
        <v>1398</v>
      </c>
      <c r="L64" s="1" t="n">
        <v>5</v>
      </c>
      <c r="M64" s="1" t="n">
        <v>3</v>
      </c>
      <c r="N64" s="3" t="s">
        <v>1399</v>
      </c>
      <c r="O64" s="3" t="n">
        <v>199127</v>
      </c>
      <c r="P64" s="3" t="n">
        <v>92.4</v>
      </c>
      <c r="Q64" s="1" t="s">
        <v>1294</v>
      </c>
      <c r="R64" s="3" t="s">
        <v>1284</v>
      </c>
    </row>
    <row r="65" customFormat="false" ht="18.7" hidden="false" customHeight="true" outlineLevel="0" collapsed="false">
      <c r="A65" s="1" t="n">
        <v>64</v>
      </c>
      <c r="H65" s="9"/>
    </row>
    <row r="66" customFormat="false" ht="18.7" hidden="false" customHeight="true" outlineLevel="0" collapsed="false">
      <c r="A66" s="1" t="n">
        <v>65</v>
      </c>
      <c r="B66" s="7" t="str">
        <f aca="false">HYPERLINK("https://mncourtfraud.com/file/SAF.zip","SAF.zip")</f>
        <v>SAF.zip</v>
      </c>
      <c r="C66" s="8" t="str">
        <f aca="false">HYPERLINK("https://mncourtfraud.com/file/27-CR-22-18209.pdf","27-CR-22-18209")</f>
        <v>27-CR-22-18209</v>
      </c>
      <c r="D66" s="3" t="s">
        <v>1400</v>
      </c>
      <c r="E66" s="8" t="str">
        <f aca="false">HYPERLINK("https://mncourtfraud.com/file/MCRO_27-CR-22-18209_Order for Production of Medical Records_2023-04-03_20240429162059.pdf","MCRO_27-CR-22-18209_Order for Production of Medical Records_2023-04-03_20240429162059.pdf")</f>
        <v>MCRO_27-CR-22-18209_Order for Production of Medical Records_2023-04-03_20240429162059.pdf</v>
      </c>
      <c r="F66" s="3" t="s">
        <v>1401</v>
      </c>
      <c r="G66" s="1" t="s">
        <v>1402</v>
      </c>
      <c r="H66" s="9" t="n">
        <v>45019</v>
      </c>
      <c r="I66" s="1" t="n">
        <v>0</v>
      </c>
      <c r="J66" s="3" t="s">
        <v>64</v>
      </c>
      <c r="K66" s="3" t="s">
        <v>1281</v>
      </c>
      <c r="L66" s="1" t="n">
        <v>7</v>
      </c>
      <c r="M66" s="1" t="n">
        <v>1</v>
      </c>
      <c r="N66" s="3" t="s">
        <v>1403</v>
      </c>
      <c r="O66" s="3" t="n">
        <v>200736</v>
      </c>
      <c r="P66" s="3" t="n">
        <v>61.6</v>
      </c>
      <c r="Q66" s="1" t="s">
        <v>1283</v>
      </c>
      <c r="R66" s="3" t="s">
        <v>1289</v>
      </c>
    </row>
    <row r="67" customFormat="false" ht="18.7" hidden="false" customHeight="true" outlineLevel="0" collapsed="false">
      <c r="A67" s="1" t="n">
        <v>66</v>
      </c>
      <c r="B67" s="7" t="str">
        <f aca="false">HYPERLINK("https://mncourtfraud.com/file/SAF.zip","SAF.zip")</f>
        <v>SAF.zip</v>
      </c>
      <c r="C67" s="8" t="str">
        <f aca="false">HYPERLINK("https://mncourtfraud.com/file/27-CR-22-18209.pdf","27-CR-22-18209")</f>
        <v>27-CR-22-18209</v>
      </c>
      <c r="D67" s="3" t="s">
        <v>1400</v>
      </c>
      <c r="E67" s="8" t="str">
        <f aca="false">HYPERLINK("https://mncourtfraud.com/file/MCRO_27-CR-22-18209_Order for Production of Medical Records_2023-04-03_20240429162059.pdf","MCRO_27-CR-22-18209_Order for Production of Medical Records_2023-04-03_20240429162059.pdf")</f>
        <v>MCRO_27-CR-22-18209_Order for Production of Medical Records_2023-04-03_20240429162059.pdf</v>
      </c>
      <c r="F67" s="3" t="s">
        <v>1401</v>
      </c>
      <c r="G67" s="1" t="s">
        <v>1404</v>
      </c>
      <c r="H67" s="9" t="n">
        <v>45019</v>
      </c>
      <c r="I67" s="1" t="n">
        <v>1</v>
      </c>
      <c r="J67" s="3" t="s">
        <v>1286</v>
      </c>
      <c r="K67" s="3" t="s">
        <v>1405</v>
      </c>
      <c r="L67" s="1" t="n">
        <v>7</v>
      </c>
      <c r="M67" s="1" t="n">
        <v>2</v>
      </c>
      <c r="N67" s="3" t="s">
        <v>1406</v>
      </c>
      <c r="O67" s="3" t="n">
        <v>239833</v>
      </c>
      <c r="P67" s="3" t="n">
        <v>73.6</v>
      </c>
      <c r="Q67" s="1" t="s">
        <v>1283</v>
      </c>
      <c r="R67" s="3" t="s">
        <v>1289</v>
      </c>
    </row>
    <row r="68" customFormat="false" ht="18.7" hidden="false" customHeight="true" outlineLevel="0" collapsed="false">
      <c r="A68" s="1" t="n">
        <v>67</v>
      </c>
      <c r="B68" s="7" t="str">
        <f aca="false">HYPERLINK("https://mncourtfraud.com/file/SAF.zip","SAF.zip")</f>
        <v>SAF.zip</v>
      </c>
      <c r="C68" s="8" t="str">
        <f aca="false">HYPERLINK("https://mncourtfraud.com/file/27-CR-22-18209.pdf","27-CR-22-18209")</f>
        <v>27-CR-22-18209</v>
      </c>
      <c r="D68" s="3" t="s">
        <v>1400</v>
      </c>
      <c r="E68" s="8" t="str">
        <f aca="false">HYPERLINK("https://mncourtfraud.com/file/MCRO_27-CR-22-18209_Order for Production of Medical Records_2023-04-03_20240429162059.pdf","MCRO_27-CR-22-18209_Order for Production of Medical Records_2023-04-03_20240429162059.pdf")</f>
        <v>MCRO_27-CR-22-18209_Order for Production of Medical Records_2023-04-03_20240429162059.pdf</v>
      </c>
      <c r="F68" s="3" t="s">
        <v>1401</v>
      </c>
      <c r="G68" s="1" t="s">
        <v>1404</v>
      </c>
      <c r="H68" s="9" t="n">
        <v>45019</v>
      </c>
      <c r="I68" s="1" t="n">
        <v>1</v>
      </c>
      <c r="J68" s="3" t="s">
        <v>1286</v>
      </c>
      <c r="K68" s="3" t="s">
        <v>1405</v>
      </c>
      <c r="L68" s="1" t="n">
        <v>7</v>
      </c>
      <c r="M68" s="1" t="n">
        <v>3</v>
      </c>
      <c r="N68" s="3" t="s">
        <v>1406</v>
      </c>
      <c r="O68" s="3" t="n">
        <v>239833</v>
      </c>
      <c r="P68" s="3" t="n">
        <v>73.6</v>
      </c>
      <c r="Q68" s="1" t="s">
        <v>1283</v>
      </c>
      <c r="R68" s="3" t="s">
        <v>1289</v>
      </c>
    </row>
    <row r="69" customFormat="false" ht="18.7" hidden="false" customHeight="true" outlineLevel="0" collapsed="false">
      <c r="A69" s="1" t="n">
        <v>68</v>
      </c>
      <c r="B69" s="7" t="str">
        <f aca="false">HYPERLINK("https://mncourtfraud.com/file/SAF.zip","SAF.zip")</f>
        <v>SAF.zip</v>
      </c>
      <c r="C69" s="8" t="str">
        <f aca="false">HYPERLINK("https://mncourtfraud.com/file/27-CR-22-18209.pdf","27-CR-22-18209")</f>
        <v>27-CR-22-18209</v>
      </c>
      <c r="D69" s="3" t="s">
        <v>1400</v>
      </c>
      <c r="E69" s="8" t="str">
        <f aca="false">HYPERLINK("https://mncourtfraud.com/file/MCRO_27-CR-22-18209_Order for Production of Medical Records_2023-04-03_20240429162059.pdf","MCRO_27-CR-22-18209_Order for Production of Medical Records_2023-04-03_20240429162059.pdf")</f>
        <v>MCRO_27-CR-22-18209_Order for Production of Medical Records_2023-04-03_20240429162059.pdf</v>
      </c>
      <c r="F69" s="3" t="s">
        <v>1401</v>
      </c>
      <c r="G69" s="1" t="s">
        <v>1407</v>
      </c>
      <c r="H69" s="9" t="n">
        <v>45019</v>
      </c>
      <c r="J69" s="3" t="s">
        <v>1291</v>
      </c>
      <c r="K69" s="3" t="s">
        <v>1408</v>
      </c>
      <c r="L69" s="1" t="n">
        <v>7</v>
      </c>
      <c r="M69" s="1" t="n">
        <v>4</v>
      </c>
      <c r="N69" s="3" t="s">
        <v>1409</v>
      </c>
      <c r="O69" s="3" t="n">
        <v>309491</v>
      </c>
      <c r="P69" s="3" t="n">
        <v>94.97</v>
      </c>
      <c r="Q69" s="1" t="s">
        <v>1294</v>
      </c>
      <c r="R69" s="3" t="s">
        <v>1284</v>
      </c>
    </row>
    <row r="70" customFormat="false" ht="18.7" hidden="false" customHeight="true" outlineLevel="0" collapsed="false">
      <c r="A70" s="1" t="n">
        <v>69</v>
      </c>
      <c r="H70" s="9"/>
    </row>
    <row r="71" customFormat="false" ht="18.7" hidden="false" customHeight="true" outlineLevel="0" collapsed="false">
      <c r="A71" s="1" t="n">
        <v>70</v>
      </c>
      <c r="B71" s="7" t="str">
        <f aca="false">HYPERLINK("https://mncourtfraud.com/file/SAF.zip","SAF.zip")</f>
        <v>SAF.zip</v>
      </c>
      <c r="C71" s="8" t="str">
        <f aca="false">HYPERLINK("https://mncourtfraud.com/file/27-CR-22-20527.pdf","27-CR-22-20527")</f>
        <v>27-CR-22-20527</v>
      </c>
      <c r="D71" s="3" t="s">
        <v>1410</v>
      </c>
      <c r="E71" s="8" t="str">
        <f aca="false">HYPERLINK("https://mncourtfraud.com/file/MCRO_27-CR-22-20527_Order for Production of Medical Records_2023-04-03_20240429162755.pdf","MCRO_27-CR-22-20527_Order for Production of Medical Records_2023-04-03_20240429162755.pdf")</f>
        <v>MCRO_27-CR-22-20527_Order for Production of Medical Records_2023-04-03_20240429162755.pdf</v>
      </c>
      <c r="F71" s="3" t="s">
        <v>1401</v>
      </c>
      <c r="G71" s="1" t="s">
        <v>1411</v>
      </c>
      <c r="H71" s="9" t="n">
        <v>45019</v>
      </c>
      <c r="I71" s="1" t="n">
        <v>0</v>
      </c>
      <c r="J71" s="3" t="s">
        <v>64</v>
      </c>
      <c r="K71" s="3" t="s">
        <v>1281</v>
      </c>
      <c r="L71" s="1" t="n">
        <v>7</v>
      </c>
      <c r="M71" s="1" t="n">
        <v>1</v>
      </c>
      <c r="N71" s="3" t="s">
        <v>1412</v>
      </c>
      <c r="O71" s="3" t="n">
        <v>167470</v>
      </c>
      <c r="P71" s="3" t="n">
        <v>57.07</v>
      </c>
      <c r="Q71" s="1" t="s">
        <v>1283</v>
      </c>
      <c r="R71" s="3" t="s">
        <v>1289</v>
      </c>
    </row>
    <row r="72" customFormat="false" ht="18.7" hidden="false" customHeight="true" outlineLevel="0" collapsed="false">
      <c r="A72" s="1" t="n">
        <v>71</v>
      </c>
      <c r="B72" s="7" t="str">
        <f aca="false">HYPERLINK("https://mncourtfraud.com/file/SAF.zip","SAF.zip")</f>
        <v>SAF.zip</v>
      </c>
      <c r="C72" s="8" t="str">
        <f aca="false">HYPERLINK("https://mncourtfraud.com/file/27-CR-22-20527.pdf","27-CR-22-20527")</f>
        <v>27-CR-22-20527</v>
      </c>
      <c r="D72" s="3" t="s">
        <v>1410</v>
      </c>
      <c r="E72" s="8" t="str">
        <f aca="false">HYPERLINK("https://mncourtfraud.com/file/MCRO_27-CR-22-20527_Order for Production of Medical Records_2023-04-03_20240429162755.pdf","MCRO_27-CR-22-20527_Order for Production of Medical Records_2023-04-03_20240429162755.pdf")</f>
        <v>MCRO_27-CR-22-20527_Order for Production of Medical Records_2023-04-03_20240429162755.pdf</v>
      </c>
      <c r="F72" s="3" t="s">
        <v>1401</v>
      </c>
      <c r="G72" s="1" t="s">
        <v>1413</v>
      </c>
      <c r="H72" s="9" t="n">
        <v>45019</v>
      </c>
      <c r="I72" s="1" t="n">
        <v>1</v>
      </c>
      <c r="J72" s="3" t="s">
        <v>1286</v>
      </c>
      <c r="K72" s="3" t="s">
        <v>1414</v>
      </c>
      <c r="L72" s="1" t="n">
        <v>7</v>
      </c>
      <c r="M72" s="1" t="n">
        <v>2</v>
      </c>
      <c r="N72" s="3" t="s">
        <v>1415</v>
      </c>
      <c r="O72" s="3" t="n">
        <v>207393</v>
      </c>
      <c r="P72" s="3" t="n">
        <v>70.68</v>
      </c>
      <c r="Q72" s="1" t="s">
        <v>1283</v>
      </c>
      <c r="R72" s="3" t="s">
        <v>1289</v>
      </c>
    </row>
    <row r="73" customFormat="false" ht="18.7" hidden="false" customHeight="true" outlineLevel="0" collapsed="false">
      <c r="A73" s="1" t="n">
        <v>72</v>
      </c>
      <c r="B73" s="7" t="str">
        <f aca="false">HYPERLINK("https://mncourtfraud.com/file/SAF.zip","SAF.zip")</f>
        <v>SAF.zip</v>
      </c>
      <c r="C73" s="8" t="str">
        <f aca="false">HYPERLINK("https://mncourtfraud.com/file/27-CR-22-20527.pdf","27-CR-22-20527")</f>
        <v>27-CR-22-20527</v>
      </c>
      <c r="D73" s="3" t="s">
        <v>1410</v>
      </c>
      <c r="E73" s="8" t="str">
        <f aca="false">HYPERLINK("https://mncourtfraud.com/file/MCRO_27-CR-22-20527_Order for Production of Medical Records_2023-04-03_20240429162755.pdf","MCRO_27-CR-22-20527_Order for Production of Medical Records_2023-04-03_20240429162755.pdf")</f>
        <v>MCRO_27-CR-22-20527_Order for Production of Medical Records_2023-04-03_20240429162755.pdf</v>
      </c>
      <c r="F73" s="3" t="s">
        <v>1401</v>
      </c>
      <c r="G73" s="1" t="s">
        <v>1413</v>
      </c>
      <c r="H73" s="9" t="n">
        <v>45019</v>
      </c>
      <c r="I73" s="1" t="n">
        <v>1</v>
      </c>
      <c r="J73" s="3" t="s">
        <v>1286</v>
      </c>
      <c r="K73" s="3" t="s">
        <v>1414</v>
      </c>
      <c r="L73" s="1" t="n">
        <v>7</v>
      </c>
      <c r="M73" s="1" t="n">
        <v>3</v>
      </c>
      <c r="N73" s="3" t="s">
        <v>1415</v>
      </c>
      <c r="O73" s="3" t="n">
        <v>207393</v>
      </c>
      <c r="P73" s="3" t="n">
        <v>70.68</v>
      </c>
      <c r="Q73" s="1" t="s">
        <v>1283</v>
      </c>
      <c r="R73" s="3" t="s">
        <v>1289</v>
      </c>
    </row>
    <row r="74" customFormat="false" ht="18.7" hidden="false" customHeight="true" outlineLevel="0" collapsed="false">
      <c r="A74" s="1" t="n">
        <v>73</v>
      </c>
      <c r="B74" s="7" t="str">
        <f aca="false">HYPERLINK("https://mncourtfraud.com/file/SAF.zip","SAF.zip")</f>
        <v>SAF.zip</v>
      </c>
      <c r="C74" s="8" t="str">
        <f aca="false">HYPERLINK("https://mncourtfraud.com/file/27-CR-22-20527.pdf","27-CR-22-20527")</f>
        <v>27-CR-22-20527</v>
      </c>
      <c r="D74" s="3" t="s">
        <v>1410</v>
      </c>
      <c r="E74" s="8" t="str">
        <f aca="false">HYPERLINK("https://mncourtfraud.com/file/MCRO_27-CR-22-20527_Order for Production of Medical Records_2023-04-03_20240429162755.pdf","MCRO_27-CR-22-20527_Order for Production of Medical Records_2023-04-03_20240429162755.pdf")</f>
        <v>MCRO_27-CR-22-20527_Order for Production of Medical Records_2023-04-03_20240429162755.pdf</v>
      </c>
      <c r="F74" s="3" t="s">
        <v>1401</v>
      </c>
      <c r="G74" s="1" t="s">
        <v>1416</v>
      </c>
      <c r="H74" s="9" t="n">
        <v>45019</v>
      </c>
      <c r="J74" s="3" t="s">
        <v>1291</v>
      </c>
      <c r="K74" s="3" t="s">
        <v>1417</v>
      </c>
      <c r="L74" s="1" t="n">
        <v>7</v>
      </c>
      <c r="M74" s="1" t="n">
        <v>4</v>
      </c>
      <c r="N74" s="3" t="s">
        <v>1288</v>
      </c>
      <c r="O74" s="3" t="n">
        <v>277040</v>
      </c>
      <c r="P74" s="3" t="n">
        <v>94.42</v>
      </c>
      <c r="Q74" s="1" t="s">
        <v>1294</v>
      </c>
      <c r="R74" s="3" t="s">
        <v>1284</v>
      </c>
    </row>
    <row r="75" customFormat="false" ht="18.7" hidden="false" customHeight="true" outlineLevel="0" collapsed="false">
      <c r="A75" s="1" t="n">
        <v>74</v>
      </c>
      <c r="H75" s="9"/>
    </row>
    <row r="76" customFormat="false" ht="18.7" hidden="false" customHeight="true" outlineLevel="0" collapsed="false">
      <c r="A76" s="1" t="n">
        <v>75</v>
      </c>
      <c r="B76" s="7" t="str">
        <f aca="false">HYPERLINK("https://mncourtfraud.com/file/SAF.zip","SAF.zip")</f>
        <v>SAF.zip</v>
      </c>
      <c r="C76" s="8" t="str">
        <f aca="false">HYPERLINK("https://mncourtfraud.com/file/27-CR-23-1886.pdf","27-CR-23-1886")</f>
        <v>27-CR-23-1886</v>
      </c>
      <c r="D76" s="3" t="s">
        <v>1031</v>
      </c>
      <c r="E76" s="8" t="str">
        <f aca="false">HYPERLINK("https://mncourtfraud.com/file/MCRO_27-CR-23-1886_Order for Continuance_2023-06-14_20240430072357.pdf","MCRO_27-CR-23-1886_Order for Continuance_2023-06-14_20240430072357.pdf")</f>
        <v>MCRO_27-CR-23-1886_Order for Continuance_2023-06-14_20240430072357.pdf</v>
      </c>
      <c r="F76" s="3" t="s">
        <v>1418</v>
      </c>
      <c r="G76" s="1" t="s">
        <v>1419</v>
      </c>
      <c r="H76" s="9" t="n">
        <v>45091</v>
      </c>
      <c r="I76" s="1" t="n">
        <v>0</v>
      </c>
      <c r="J76" s="3" t="s">
        <v>55</v>
      </c>
      <c r="K76" s="3" t="s">
        <v>1281</v>
      </c>
      <c r="L76" s="1" t="n">
        <v>5</v>
      </c>
      <c r="M76" s="1" t="n">
        <v>1</v>
      </c>
      <c r="N76" s="3" t="s">
        <v>1420</v>
      </c>
      <c r="O76" s="3" t="n">
        <v>136564</v>
      </c>
      <c r="P76" s="3" t="n">
        <v>55.88</v>
      </c>
      <c r="Q76" s="1" t="s">
        <v>1283</v>
      </c>
      <c r="R76" s="3" t="s">
        <v>1284</v>
      </c>
    </row>
    <row r="77" customFormat="false" ht="18.7" hidden="false" customHeight="true" outlineLevel="0" collapsed="false">
      <c r="A77" s="1" t="n">
        <v>76</v>
      </c>
      <c r="B77" s="7" t="str">
        <f aca="false">HYPERLINK("https://mncourtfraud.com/file/SAF.zip","SAF.zip")</f>
        <v>SAF.zip</v>
      </c>
      <c r="C77" s="8" t="str">
        <f aca="false">HYPERLINK("https://mncourtfraud.com/file/27-CR-23-1886.pdf","27-CR-23-1886")</f>
        <v>27-CR-23-1886</v>
      </c>
      <c r="D77" s="3" t="s">
        <v>1031</v>
      </c>
      <c r="E77" s="8" t="str">
        <f aca="false">HYPERLINK("https://mncourtfraud.com/file/MCRO_27-CR-23-1886_Order for Continuance_2023-06-14_20240430072357.pdf","MCRO_27-CR-23-1886_Order for Continuance_2023-06-14_20240430072357.pdf")</f>
        <v>MCRO_27-CR-23-1886_Order for Continuance_2023-06-14_20240430072357.pdf</v>
      </c>
      <c r="F77" s="3" t="s">
        <v>1418</v>
      </c>
      <c r="G77" s="1" t="s">
        <v>1421</v>
      </c>
      <c r="H77" s="9" t="n">
        <v>45091</v>
      </c>
      <c r="I77" s="1" t="n">
        <v>1</v>
      </c>
      <c r="J77" s="3" t="s">
        <v>1286</v>
      </c>
      <c r="K77" s="3" t="s">
        <v>1422</v>
      </c>
      <c r="L77" s="1" t="n">
        <v>5</v>
      </c>
      <c r="M77" s="1" t="n">
        <v>2</v>
      </c>
      <c r="N77" s="3" t="s">
        <v>1423</v>
      </c>
      <c r="O77" s="3" t="n">
        <v>178511</v>
      </c>
      <c r="P77" s="3" t="n">
        <v>73.04</v>
      </c>
      <c r="Q77" s="1" t="s">
        <v>1283</v>
      </c>
      <c r="R77" s="3" t="s">
        <v>1289</v>
      </c>
    </row>
    <row r="78" customFormat="false" ht="18.7" hidden="false" customHeight="true" outlineLevel="0" collapsed="false">
      <c r="A78" s="1" t="n">
        <v>77</v>
      </c>
      <c r="B78" s="7" t="str">
        <f aca="false">HYPERLINK("https://mncourtfraud.com/file/SAF.zip","SAF.zip")</f>
        <v>SAF.zip</v>
      </c>
      <c r="C78" s="8" t="str">
        <f aca="false">HYPERLINK("https://mncourtfraud.com/file/27-CR-23-1886.pdf","27-CR-23-1886")</f>
        <v>27-CR-23-1886</v>
      </c>
      <c r="D78" s="3" t="s">
        <v>1031</v>
      </c>
      <c r="E78" s="8" t="str">
        <f aca="false">HYPERLINK("https://mncourtfraud.com/file/MCRO_27-CR-23-1886_Order for Continuance_2023-06-14_20240430072357.pdf","MCRO_27-CR-23-1886_Order for Continuance_2023-06-14_20240430072357.pdf")</f>
        <v>MCRO_27-CR-23-1886_Order for Continuance_2023-06-14_20240430072357.pdf</v>
      </c>
      <c r="F78" s="3" t="s">
        <v>1418</v>
      </c>
      <c r="G78" s="1" t="s">
        <v>1424</v>
      </c>
      <c r="H78" s="9" t="n">
        <v>45091</v>
      </c>
      <c r="J78" s="3" t="s">
        <v>1291</v>
      </c>
      <c r="K78" s="3" t="s">
        <v>1425</v>
      </c>
      <c r="L78" s="1" t="n">
        <v>5</v>
      </c>
      <c r="M78" s="1" t="n">
        <v>3</v>
      </c>
      <c r="N78" s="3" t="s">
        <v>1426</v>
      </c>
      <c r="O78" s="3" t="n">
        <v>228017</v>
      </c>
      <c r="P78" s="3" t="n">
        <v>93.3</v>
      </c>
      <c r="Q78" s="1" t="s">
        <v>1294</v>
      </c>
      <c r="R78" s="3" t="s">
        <v>1284</v>
      </c>
    </row>
    <row r="79" customFormat="false" ht="18.7" hidden="false" customHeight="true" outlineLevel="0" collapsed="false">
      <c r="A79" s="1" t="n">
        <v>78</v>
      </c>
      <c r="H79" s="9"/>
    </row>
    <row r="80" customFormat="false" ht="18.7" hidden="false" customHeight="true" outlineLevel="0" collapsed="false">
      <c r="A80" s="1" t="n">
        <v>79</v>
      </c>
      <c r="B80" s="7" t="str">
        <f aca="false">HYPERLINK("https://mncourtfraud.com/file/SAF.zip","SAF.zip")</f>
        <v>SAF.zip</v>
      </c>
      <c r="C80" s="8" t="str">
        <f aca="false">HYPERLINK("https://mncourtfraud.com/file/27-CR-23-21653.pdf","27-CR-23-21653")</f>
        <v>27-CR-23-21653</v>
      </c>
      <c r="D80" s="3" t="s">
        <v>1427</v>
      </c>
      <c r="E80" s="8" t="str">
        <f aca="false">HYPERLINK("https://mncourtfraud.com/file/MCRO_27-CR-23-21653_Amended Order_2024-02-13_20240430075009.pdf","MCRO_27-CR-23-21653_Amended Order_2024-02-13_20240430075009.pdf")</f>
        <v>MCRO_27-CR-23-21653_Amended Order_2024-02-13_20240430075009.pdf</v>
      </c>
      <c r="F80" s="3" t="s">
        <v>1347</v>
      </c>
      <c r="G80" s="1" t="s">
        <v>1428</v>
      </c>
      <c r="H80" s="9" t="n">
        <v>45335</v>
      </c>
      <c r="I80" s="1" t="n">
        <v>0</v>
      </c>
      <c r="J80" s="3" t="s">
        <v>61</v>
      </c>
      <c r="K80" s="3" t="s">
        <v>1324</v>
      </c>
      <c r="L80" s="1" t="n">
        <v>9</v>
      </c>
      <c r="M80" s="1" t="n">
        <v>1</v>
      </c>
      <c r="N80" s="3" t="s">
        <v>1429</v>
      </c>
      <c r="O80" s="3" t="n">
        <v>169597</v>
      </c>
      <c r="P80" s="3" t="n">
        <v>47.38</v>
      </c>
      <c r="Q80" s="1" t="s">
        <v>1283</v>
      </c>
      <c r="R80" s="3" t="s">
        <v>1289</v>
      </c>
    </row>
    <row r="81" customFormat="false" ht="18.7" hidden="false" customHeight="true" outlineLevel="0" collapsed="false">
      <c r="A81" s="1" t="n">
        <v>80</v>
      </c>
      <c r="B81" s="7" t="str">
        <f aca="false">HYPERLINK("https://mncourtfraud.com/file/SAF.zip","SAF.zip")</f>
        <v>SAF.zip</v>
      </c>
      <c r="C81" s="8" t="str">
        <f aca="false">HYPERLINK("https://mncourtfraud.com/file/27-CR-23-21653.pdf","27-CR-23-21653")</f>
        <v>27-CR-23-21653</v>
      </c>
      <c r="D81" s="3" t="s">
        <v>1427</v>
      </c>
      <c r="E81" s="8" t="str">
        <f aca="false">HYPERLINK("https://mncourtfraud.com/file/MCRO_27-CR-23-21653_Amended Order_2024-02-13_20240430075009.pdf","MCRO_27-CR-23-21653_Amended Order_2024-02-13_20240430075009.pdf")</f>
        <v>MCRO_27-CR-23-21653_Amended Order_2024-02-13_20240430075009.pdf</v>
      </c>
      <c r="F81" s="3" t="s">
        <v>1347</v>
      </c>
      <c r="G81" s="1" t="s">
        <v>1430</v>
      </c>
      <c r="H81" s="9" t="n">
        <v>45335</v>
      </c>
      <c r="I81" s="1" t="n">
        <v>0</v>
      </c>
      <c r="J81" s="3" t="s">
        <v>55</v>
      </c>
      <c r="K81" s="3" t="s">
        <v>1281</v>
      </c>
      <c r="L81" s="1" t="n">
        <v>9</v>
      </c>
      <c r="M81" s="1" t="n">
        <v>2</v>
      </c>
      <c r="N81" s="3" t="s">
        <v>1431</v>
      </c>
      <c r="O81" s="3" t="n">
        <v>244118</v>
      </c>
      <c r="P81" s="3" t="n">
        <v>68.2</v>
      </c>
      <c r="Q81" s="1" t="s">
        <v>1283</v>
      </c>
      <c r="R81" s="3" t="s">
        <v>1289</v>
      </c>
    </row>
    <row r="82" customFormat="false" ht="18.7" hidden="false" customHeight="true" outlineLevel="0" collapsed="false">
      <c r="A82" s="1" t="n">
        <v>81</v>
      </c>
      <c r="B82" s="7" t="str">
        <f aca="false">HYPERLINK("https://mncourtfraud.com/file/SAF.zip","SAF.zip")</f>
        <v>SAF.zip</v>
      </c>
      <c r="C82" s="8" t="str">
        <f aca="false">HYPERLINK("https://mncourtfraud.com/file/27-CR-23-21653.pdf","27-CR-23-21653")</f>
        <v>27-CR-23-21653</v>
      </c>
      <c r="D82" s="3" t="s">
        <v>1427</v>
      </c>
      <c r="E82" s="8" t="str">
        <f aca="false">HYPERLINK("https://mncourtfraud.com/file/MCRO_27-CR-23-21653_Amended Order_2024-02-13_20240430075009.pdf","MCRO_27-CR-23-21653_Amended Order_2024-02-13_20240430075009.pdf")</f>
        <v>MCRO_27-CR-23-21653_Amended Order_2024-02-13_20240430075009.pdf</v>
      </c>
      <c r="F82" s="3" t="s">
        <v>1347</v>
      </c>
      <c r="G82" s="1" t="s">
        <v>1432</v>
      </c>
      <c r="H82" s="9" t="n">
        <v>45335</v>
      </c>
      <c r="I82" s="1" t="n">
        <v>1</v>
      </c>
      <c r="J82" s="3" t="s">
        <v>1286</v>
      </c>
      <c r="K82" s="3" t="s">
        <v>1433</v>
      </c>
      <c r="L82" s="1" t="n">
        <v>9</v>
      </c>
      <c r="M82" s="1" t="n">
        <v>3</v>
      </c>
      <c r="N82" s="3" t="s">
        <v>1434</v>
      </c>
      <c r="O82" s="3" t="n">
        <v>292743</v>
      </c>
      <c r="P82" s="3" t="n">
        <v>81.79</v>
      </c>
      <c r="Q82" s="1" t="s">
        <v>1283</v>
      </c>
      <c r="R82" s="3" t="s">
        <v>1289</v>
      </c>
    </row>
    <row r="83" customFormat="false" ht="18.7" hidden="false" customHeight="true" outlineLevel="0" collapsed="false">
      <c r="A83" s="1" t="n">
        <v>82</v>
      </c>
      <c r="B83" s="7" t="str">
        <f aca="false">HYPERLINK("https://mncourtfraud.com/file/SAF.zip","SAF.zip")</f>
        <v>SAF.zip</v>
      </c>
      <c r="C83" s="8" t="str">
        <f aca="false">HYPERLINK("https://mncourtfraud.com/file/27-CR-23-21653.pdf","27-CR-23-21653")</f>
        <v>27-CR-23-21653</v>
      </c>
      <c r="D83" s="3" t="s">
        <v>1427</v>
      </c>
      <c r="E83" s="8" t="str">
        <f aca="false">HYPERLINK("https://mncourtfraud.com/file/MCRO_27-CR-23-21653_Amended Order_2024-02-13_20240430075009.pdf","MCRO_27-CR-23-21653_Amended Order_2024-02-13_20240430075009.pdf")</f>
        <v>MCRO_27-CR-23-21653_Amended Order_2024-02-13_20240430075009.pdf</v>
      </c>
      <c r="F83" s="3" t="s">
        <v>1347</v>
      </c>
      <c r="G83" s="1" t="s">
        <v>1435</v>
      </c>
      <c r="H83" s="9" t="n">
        <v>45335</v>
      </c>
      <c r="J83" s="3" t="s">
        <v>1291</v>
      </c>
      <c r="K83" s="3" t="s">
        <v>1436</v>
      </c>
      <c r="L83" s="1" t="n">
        <v>9</v>
      </c>
      <c r="M83" s="1" t="n">
        <v>4</v>
      </c>
      <c r="N83" s="3" t="s">
        <v>1437</v>
      </c>
      <c r="O83" s="3" t="n">
        <v>341535</v>
      </c>
      <c r="P83" s="3" t="n">
        <v>95.42</v>
      </c>
      <c r="Q83" s="1" t="s">
        <v>1294</v>
      </c>
      <c r="R83" s="3" t="s">
        <v>1284</v>
      </c>
    </row>
    <row r="84" customFormat="false" ht="18.7" hidden="false" customHeight="true" outlineLevel="0" collapsed="false">
      <c r="A84" s="1" t="n">
        <v>83</v>
      </c>
      <c r="H84" s="9"/>
    </row>
    <row r="85" customFormat="false" ht="18.7" hidden="false" customHeight="true" outlineLevel="0" collapsed="false">
      <c r="A85" s="1" t="n">
        <v>84</v>
      </c>
      <c r="B85" s="7" t="str">
        <f aca="false">HYPERLINK("https://mncourtfraud.com/file/SAF.zip","SAF.zip")</f>
        <v>SAF.zip</v>
      </c>
      <c r="C85" s="8" t="str">
        <f aca="false">HYPERLINK("https://mncourtfraud.com/file/27-CR-23-5213.pdf","27-CR-23-5213")</f>
        <v>27-CR-23-5213</v>
      </c>
      <c r="D85" s="3" t="s">
        <v>1438</v>
      </c>
      <c r="E85" s="8" t="str">
        <f aca="false">HYPERLINK("https://mncourtfraud.com/file/MCRO_27-CR-23-5213_Order for Dismissal_2023-05-19_20240430073154.pdf","MCRO_27-CR-23-5213_Order for Dismissal_2023-05-19_20240430073154.pdf")</f>
        <v>MCRO_27-CR-23-5213_Order for Dismissal_2023-05-19_20240430073154.pdf</v>
      </c>
      <c r="F85" s="3" t="s">
        <v>1314</v>
      </c>
      <c r="G85" s="1" t="s">
        <v>1439</v>
      </c>
      <c r="H85" s="9" t="n">
        <v>45065</v>
      </c>
      <c r="I85" s="1" t="n">
        <v>0</v>
      </c>
      <c r="J85" s="3" t="s">
        <v>64</v>
      </c>
      <c r="K85" s="3" t="s">
        <v>1281</v>
      </c>
      <c r="L85" s="1" t="n">
        <v>7</v>
      </c>
      <c r="M85" s="1" t="n">
        <v>1</v>
      </c>
      <c r="N85" s="3" t="s">
        <v>1440</v>
      </c>
      <c r="O85" s="3" t="n">
        <v>197741</v>
      </c>
      <c r="P85" s="3" t="n">
        <v>64.15</v>
      </c>
      <c r="Q85" s="1" t="s">
        <v>1283</v>
      </c>
      <c r="R85" s="3" t="s">
        <v>1289</v>
      </c>
    </row>
    <row r="86" customFormat="false" ht="18.7" hidden="false" customHeight="true" outlineLevel="0" collapsed="false">
      <c r="A86" s="1" t="n">
        <v>85</v>
      </c>
      <c r="B86" s="7" t="str">
        <f aca="false">HYPERLINK("https://mncourtfraud.com/file/SAF.zip","SAF.zip")</f>
        <v>SAF.zip</v>
      </c>
      <c r="C86" s="8" t="str">
        <f aca="false">HYPERLINK("https://mncourtfraud.com/file/27-CR-23-5213.pdf","27-CR-23-5213")</f>
        <v>27-CR-23-5213</v>
      </c>
      <c r="D86" s="3" t="s">
        <v>1438</v>
      </c>
      <c r="E86" s="8" t="str">
        <f aca="false">HYPERLINK("https://mncourtfraud.com/file/MCRO_27-CR-23-5213_Order for Dismissal_2023-05-19_20240430073154.pdf","MCRO_27-CR-23-5213_Order for Dismissal_2023-05-19_20240430073154.pdf")</f>
        <v>MCRO_27-CR-23-5213_Order for Dismissal_2023-05-19_20240430073154.pdf</v>
      </c>
      <c r="F86" s="3" t="s">
        <v>1314</v>
      </c>
      <c r="G86" s="1" t="s">
        <v>1441</v>
      </c>
      <c r="H86" s="9" t="n">
        <v>45065</v>
      </c>
      <c r="I86" s="1" t="n">
        <v>3</v>
      </c>
      <c r="J86" s="3" t="s">
        <v>1286</v>
      </c>
      <c r="K86" s="3" t="s">
        <v>1442</v>
      </c>
      <c r="L86" s="1" t="n">
        <v>7</v>
      </c>
      <c r="M86" s="1" t="n">
        <v>2</v>
      </c>
      <c r="N86" s="3" t="s">
        <v>1443</v>
      </c>
      <c r="O86" s="3" t="n">
        <v>242610</v>
      </c>
      <c r="P86" s="3" t="n">
        <v>78.71</v>
      </c>
      <c r="Q86" s="1" t="s">
        <v>1283</v>
      </c>
      <c r="R86" s="3" t="s">
        <v>1289</v>
      </c>
    </row>
    <row r="87" customFormat="false" ht="18.7" hidden="false" customHeight="true" outlineLevel="0" collapsed="false">
      <c r="A87" s="1" t="n">
        <v>86</v>
      </c>
      <c r="B87" s="7" t="str">
        <f aca="false">HYPERLINK("https://mncourtfraud.com/file/SAF.zip","SAF.zip")</f>
        <v>SAF.zip</v>
      </c>
      <c r="C87" s="8" t="str">
        <f aca="false">HYPERLINK("https://mncourtfraud.com/file/27-CR-23-5213.pdf","27-CR-23-5213")</f>
        <v>27-CR-23-5213</v>
      </c>
      <c r="D87" s="3" t="s">
        <v>1438</v>
      </c>
      <c r="E87" s="8" t="str">
        <f aca="false">HYPERLINK("https://mncourtfraud.com/file/MCRO_27-CR-23-5213_Order for Dismissal_2023-05-19_20240430073154.pdf","MCRO_27-CR-23-5213_Order for Dismissal_2023-05-19_20240430073154.pdf")</f>
        <v>MCRO_27-CR-23-5213_Order for Dismissal_2023-05-19_20240430073154.pdf</v>
      </c>
      <c r="F87" s="3" t="s">
        <v>1314</v>
      </c>
      <c r="G87" s="1" t="s">
        <v>1444</v>
      </c>
      <c r="H87" s="9" t="n">
        <v>45065</v>
      </c>
      <c r="J87" s="3" t="s">
        <v>1291</v>
      </c>
      <c r="K87" s="3" t="s">
        <v>1445</v>
      </c>
      <c r="L87" s="1" t="n">
        <v>7</v>
      </c>
      <c r="M87" s="1" t="n">
        <v>3</v>
      </c>
      <c r="N87" s="3" t="s">
        <v>1446</v>
      </c>
      <c r="O87" s="3" t="n">
        <v>291857</v>
      </c>
      <c r="P87" s="3" t="n">
        <v>94.68</v>
      </c>
      <c r="Q87" s="1" t="s">
        <v>1294</v>
      </c>
      <c r="R87" s="3" t="s">
        <v>1284</v>
      </c>
    </row>
    <row r="88" customFormat="false" ht="18.7" hidden="false" customHeight="true" outlineLevel="0" collapsed="false">
      <c r="H88" s="9"/>
    </row>
    <row r="89" customFormat="false" ht="18.7" hidden="false" customHeight="true" outlineLevel="0" collapsed="false">
      <c r="H89" s="9"/>
    </row>
    <row r="90" customFormat="false" ht="18.7" hidden="false" customHeight="true" outlineLevel="0" collapsed="false">
      <c r="H90" s="9"/>
    </row>
    <row r="91" customFormat="false" ht="18.7" hidden="false" customHeight="true" outlineLevel="0" collapsed="false">
      <c r="H91" s="9"/>
    </row>
    <row r="92" customFormat="false" ht="18.7" hidden="false" customHeight="true" outlineLevel="0" collapsed="false">
      <c r="H92" s="9"/>
    </row>
    <row r="93" customFormat="false" ht="18.7" hidden="false" customHeight="true" outlineLevel="0" collapsed="false">
      <c r="H93" s="9"/>
    </row>
    <row r="94" customFormat="false" ht="18.7" hidden="false" customHeight="true" outlineLevel="0" collapsed="false">
      <c r="H94" s="9"/>
    </row>
    <row r="95" customFormat="false" ht="18.7" hidden="false" customHeight="true" outlineLevel="0" collapsed="false">
      <c r="H95" s="9"/>
    </row>
    <row r="96" customFormat="false" ht="18.7" hidden="false" customHeight="true" outlineLevel="0" collapsed="false">
      <c r="H96" s="9"/>
    </row>
    <row r="97" customFormat="false" ht="18.7" hidden="false" customHeight="true" outlineLevel="0" collapsed="false">
      <c r="H97" s="9"/>
    </row>
    <row r="98" customFormat="false" ht="18.7" hidden="false" customHeight="true" outlineLevel="0" collapsed="false">
      <c r="H98" s="9"/>
    </row>
    <row r="99" customFormat="false" ht="18.7" hidden="false" customHeight="true" outlineLevel="0" collapsed="false">
      <c r="H99" s="9"/>
    </row>
    <row r="100" customFormat="false" ht="18.7" hidden="false" customHeight="true" outlineLevel="0" collapsed="false">
      <c r="H100" s="9"/>
    </row>
    <row r="101" customFormat="false" ht="18.7" hidden="false" customHeight="true" outlineLevel="0" collapsed="false">
      <c r="H101" s="9"/>
    </row>
    <row r="102" customFormat="false" ht="18.7" hidden="false" customHeight="true" outlineLevel="0" collapsed="false">
      <c r="H102" s="9"/>
    </row>
    <row r="103" customFormat="false" ht="18.7" hidden="false" customHeight="true" outlineLevel="0" collapsed="false">
      <c r="H103" s="9"/>
    </row>
    <row r="104" customFormat="false" ht="18.7" hidden="false" customHeight="true" outlineLevel="0" collapsed="false">
      <c r="H104" s="9"/>
    </row>
    <row r="105" customFormat="false" ht="18.7" hidden="false" customHeight="true" outlineLevel="0" collapsed="false">
      <c r="H105" s="9"/>
    </row>
    <row r="106" customFormat="false" ht="18.7" hidden="false" customHeight="true" outlineLevel="0" collapsed="false">
      <c r="H106" s="9"/>
    </row>
    <row r="107" customFormat="false" ht="18.7" hidden="false" customHeight="true" outlineLevel="0" collapsed="false">
      <c r="H107" s="9"/>
    </row>
    <row r="108" customFormat="false" ht="18.7" hidden="false" customHeight="true" outlineLevel="0" collapsed="false">
      <c r="H108" s="9"/>
    </row>
    <row r="109" customFormat="false" ht="18.7" hidden="false" customHeight="true" outlineLevel="0" collapsed="false">
      <c r="H109" s="9"/>
    </row>
    <row r="110" customFormat="false" ht="18.7" hidden="false" customHeight="true" outlineLevel="0" collapsed="false">
      <c r="H110" s="9"/>
    </row>
    <row r="111" customFormat="false" ht="18.7" hidden="false" customHeight="true" outlineLevel="0" collapsed="false">
      <c r="H111" s="9"/>
    </row>
    <row r="112" customFormat="false" ht="18.7" hidden="false" customHeight="true" outlineLevel="0" collapsed="false">
      <c r="H112" s="9"/>
    </row>
    <row r="113" customFormat="false" ht="18.7" hidden="false" customHeight="true" outlineLevel="0" collapsed="false">
      <c r="H113" s="9"/>
    </row>
    <row r="114" customFormat="false" ht="18.7" hidden="false" customHeight="true" outlineLevel="0" collapsed="false">
      <c r="H114" s="9"/>
    </row>
    <row r="115" customFormat="false" ht="18.7" hidden="false" customHeight="true" outlineLevel="0" collapsed="false">
      <c r="H115" s="9"/>
    </row>
    <row r="116" customFormat="false" ht="18.7" hidden="false" customHeight="true" outlineLevel="0" collapsed="false">
      <c r="H116" s="9"/>
    </row>
    <row r="117" customFormat="false" ht="18.7" hidden="false" customHeight="true" outlineLevel="0" collapsed="false">
      <c r="H117" s="9"/>
    </row>
    <row r="118" customFormat="false" ht="18.7" hidden="false" customHeight="true" outlineLevel="0" collapsed="false">
      <c r="H118" s="9"/>
    </row>
    <row r="119" customFormat="false" ht="18.7" hidden="false" customHeight="true" outlineLevel="0" collapsed="false">
      <c r="H119" s="9"/>
    </row>
    <row r="120" customFormat="false" ht="18.7" hidden="false" customHeight="true" outlineLevel="0" collapsed="false">
      <c r="H120" s="9"/>
    </row>
    <row r="121" customFormat="false" ht="18.7" hidden="false" customHeight="true" outlineLevel="0" collapsed="false">
      <c r="H121" s="9"/>
    </row>
    <row r="122" customFormat="false" ht="18.7" hidden="false" customHeight="true" outlineLevel="0" collapsed="false">
      <c r="H122" s="9"/>
    </row>
    <row r="123" customFormat="false" ht="18.7" hidden="false" customHeight="true" outlineLevel="0" collapsed="false">
      <c r="H123" s="9"/>
    </row>
    <row r="124" customFormat="false" ht="18.7" hidden="false" customHeight="true" outlineLevel="0" collapsed="false">
      <c r="H124" s="9"/>
    </row>
    <row r="125" customFormat="false" ht="18.7" hidden="false" customHeight="true" outlineLevel="0" collapsed="false">
      <c r="H125" s="9"/>
    </row>
    <row r="126" customFormat="false" ht="18.7" hidden="false" customHeight="true" outlineLevel="0" collapsed="false">
      <c r="H126" s="9"/>
    </row>
    <row r="127" customFormat="false" ht="18.7" hidden="false" customHeight="true" outlineLevel="0" collapsed="false">
      <c r="H127" s="9"/>
    </row>
    <row r="128" customFormat="false" ht="18.7" hidden="false" customHeight="true" outlineLevel="0" collapsed="false">
      <c r="H128" s="9"/>
    </row>
    <row r="129" customFormat="false" ht="18.7" hidden="false" customHeight="true" outlineLevel="0" collapsed="false">
      <c r="H129" s="9"/>
    </row>
    <row r="130" customFormat="false" ht="18.7" hidden="false" customHeight="true" outlineLevel="0" collapsed="false">
      <c r="H130" s="9"/>
    </row>
    <row r="131" customFormat="false" ht="18.7" hidden="false" customHeight="true" outlineLevel="0" collapsed="false">
      <c r="H131" s="9"/>
    </row>
    <row r="132" customFormat="false" ht="18.7" hidden="false" customHeight="true" outlineLevel="0" collapsed="false">
      <c r="H132" s="9"/>
    </row>
    <row r="133" customFormat="false" ht="18.7" hidden="false" customHeight="true" outlineLevel="0" collapsed="false">
      <c r="H133" s="9"/>
    </row>
    <row r="134" customFormat="false" ht="18.7" hidden="false" customHeight="true" outlineLevel="0" collapsed="false">
      <c r="H134" s="9"/>
    </row>
    <row r="135" customFormat="false" ht="18.7" hidden="false" customHeight="true" outlineLevel="0" collapsed="false">
      <c r="H135" s="9"/>
    </row>
    <row r="136" customFormat="false" ht="18.7" hidden="false" customHeight="true" outlineLevel="0" collapsed="false">
      <c r="H136" s="9"/>
    </row>
    <row r="137" customFormat="false" ht="18.7" hidden="false" customHeight="true" outlineLevel="0" collapsed="false">
      <c r="H137" s="9"/>
    </row>
    <row r="138" customFormat="false" ht="18.7" hidden="false" customHeight="true" outlineLevel="0" collapsed="false">
      <c r="H138" s="9"/>
    </row>
    <row r="139" customFormat="false" ht="18.7" hidden="false" customHeight="true" outlineLevel="0" collapsed="false">
      <c r="H139" s="9"/>
    </row>
    <row r="140" customFormat="false" ht="18.7" hidden="false" customHeight="true" outlineLevel="0" collapsed="false">
      <c r="H140" s="9"/>
    </row>
    <row r="141" customFormat="false" ht="18.7" hidden="false" customHeight="true" outlineLevel="0" collapsed="false">
      <c r="H141" s="9"/>
    </row>
    <row r="142" customFormat="false" ht="18.7" hidden="false" customHeight="true" outlineLevel="0" collapsed="false">
      <c r="H142" s="9"/>
    </row>
    <row r="143" customFormat="false" ht="18.7" hidden="false" customHeight="true" outlineLevel="0" collapsed="false">
      <c r="H143" s="9"/>
    </row>
    <row r="144" customFormat="false" ht="18.7" hidden="false" customHeight="true" outlineLevel="0" collapsed="false">
      <c r="H144" s="9"/>
    </row>
    <row r="145" customFormat="false" ht="18.7" hidden="false" customHeight="true" outlineLevel="0" collapsed="false">
      <c r="H145" s="9"/>
    </row>
    <row r="146" customFormat="false" ht="18.7" hidden="false" customHeight="true" outlineLevel="0" collapsed="false">
      <c r="H146" s="9"/>
    </row>
    <row r="147" customFormat="false" ht="18.7" hidden="false" customHeight="true" outlineLevel="0" collapsed="false">
      <c r="H147" s="9"/>
    </row>
    <row r="148" customFormat="false" ht="18.7" hidden="false" customHeight="true" outlineLevel="0" collapsed="false">
      <c r="H148" s="9"/>
    </row>
    <row r="149" customFormat="false" ht="18.7" hidden="false" customHeight="true" outlineLevel="0" collapsed="false">
      <c r="H149" s="9"/>
    </row>
    <row r="150" customFormat="false" ht="18.7" hidden="false" customHeight="true" outlineLevel="0" collapsed="false">
      <c r="H150" s="9"/>
    </row>
    <row r="151" customFormat="false" ht="18.7" hidden="false" customHeight="true" outlineLevel="0" collapsed="false">
      <c r="H151" s="9"/>
    </row>
    <row r="152" customFormat="false" ht="18.7" hidden="false" customHeight="true" outlineLevel="0" collapsed="false">
      <c r="H152" s="9"/>
    </row>
    <row r="153" customFormat="false" ht="18.7" hidden="false" customHeight="true" outlineLevel="0" collapsed="false">
      <c r="H153" s="9"/>
    </row>
    <row r="154" customFormat="false" ht="18.7" hidden="false" customHeight="true" outlineLevel="0" collapsed="false">
      <c r="H154" s="9"/>
    </row>
    <row r="155" customFormat="false" ht="18.7" hidden="false" customHeight="true" outlineLevel="0" collapsed="false">
      <c r="H155" s="9"/>
    </row>
    <row r="156" customFormat="false" ht="18.7" hidden="false" customHeight="true" outlineLevel="0" collapsed="false">
      <c r="H156" s="9"/>
    </row>
    <row r="157" customFormat="false" ht="18.7" hidden="false" customHeight="true" outlineLevel="0" collapsed="false">
      <c r="H157" s="9"/>
    </row>
    <row r="158" customFormat="false" ht="18.7" hidden="false" customHeight="true" outlineLevel="0" collapsed="false">
      <c r="H158" s="9"/>
    </row>
    <row r="159" customFormat="false" ht="18.7" hidden="false" customHeight="true" outlineLevel="0" collapsed="false">
      <c r="H159" s="9"/>
    </row>
    <row r="160" customFormat="false" ht="18.7" hidden="false" customHeight="true" outlineLevel="0" collapsed="false">
      <c r="H160" s="9"/>
    </row>
    <row r="161" customFormat="false" ht="18.7" hidden="false" customHeight="true" outlineLevel="0" collapsed="false">
      <c r="H161" s="9"/>
    </row>
    <row r="162" customFormat="false" ht="18.7" hidden="false" customHeight="true" outlineLevel="0" collapsed="false">
      <c r="H162" s="9"/>
    </row>
    <row r="163" customFormat="false" ht="18.7" hidden="false" customHeight="true" outlineLevel="0" collapsed="false">
      <c r="H163" s="9"/>
    </row>
    <row r="164" customFormat="false" ht="18.7" hidden="false" customHeight="true" outlineLevel="0" collapsed="false">
      <c r="H164" s="9"/>
    </row>
    <row r="165" customFormat="false" ht="18.7" hidden="false" customHeight="true" outlineLevel="0" collapsed="false">
      <c r="H165" s="9"/>
    </row>
    <row r="166" customFormat="false" ht="18.7" hidden="false" customHeight="true" outlineLevel="0" collapsed="false">
      <c r="H166" s="9"/>
    </row>
    <row r="167" customFormat="false" ht="18.7" hidden="false" customHeight="true" outlineLevel="0" collapsed="false">
      <c r="H167" s="9"/>
    </row>
    <row r="168" customFormat="false" ht="18.7" hidden="false" customHeight="true" outlineLevel="0" collapsed="false">
      <c r="H168" s="9"/>
    </row>
    <row r="169" customFormat="false" ht="18.7" hidden="false" customHeight="true" outlineLevel="0" collapsed="false">
      <c r="H169" s="9"/>
    </row>
    <row r="170" customFormat="false" ht="18.7" hidden="false" customHeight="true" outlineLevel="0" collapsed="false">
      <c r="H170" s="9"/>
    </row>
    <row r="171" customFormat="false" ht="18.7" hidden="false" customHeight="true" outlineLevel="0" collapsed="false">
      <c r="H171" s="9"/>
    </row>
    <row r="172" customFormat="false" ht="18.7" hidden="false" customHeight="true" outlineLevel="0" collapsed="false">
      <c r="H172" s="9"/>
    </row>
    <row r="173" customFormat="false" ht="18.7" hidden="false" customHeight="true" outlineLevel="0" collapsed="false">
      <c r="H173" s="9"/>
    </row>
    <row r="174" customFormat="false" ht="18.7" hidden="false" customHeight="true" outlineLevel="0" collapsed="false">
      <c r="H174" s="9"/>
    </row>
    <row r="175" customFormat="false" ht="18.7" hidden="false" customHeight="true" outlineLevel="0" collapsed="false">
      <c r="H175" s="9"/>
    </row>
    <row r="176" customFormat="false" ht="18.7" hidden="false" customHeight="true" outlineLevel="0" collapsed="false">
      <c r="H176" s="9"/>
    </row>
    <row r="177" customFormat="false" ht="18.7" hidden="false" customHeight="true" outlineLevel="0" collapsed="false">
      <c r="H177" s="9"/>
    </row>
    <row r="178" customFormat="false" ht="18.7" hidden="false" customHeight="true" outlineLevel="0" collapsed="false">
      <c r="H178" s="9"/>
    </row>
    <row r="179" customFormat="false" ht="18.7" hidden="false" customHeight="true" outlineLevel="0" collapsed="false">
      <c r="H179" s="9"/>
    </row>
    <row r="180" customFormat="false" ht="18.7" hidden="false" customHeight="true" outlineLevel="0" collapsed="false">
      <c r="H180" s="9"/>
    </row>
    <row r="181" customFormat="false" ht="18.7" hidden="false" customHeight="true" outlineLevel="0" collapsed="false">
      <c r="H181" s="9"/>
    </row>
    <row r="182" customFormat="false" ht="18.7" hidden="false" customHeight="true" outlineLevel="0" collapsed="false">
      <c r="H182" s="9"/>
    </row>
    <row r="183" customFormat="false" ht="18.7" hidden="false" customHeight="true" outlineLevel="0" collapsed="false">
      <c r="H183" s="9"/>
    </row>
    <row r="184" customFormat="false" ht="18.7" hidden="false" customHeight="true" outlineLevel="0" collapsed="false">
      <c r="H184" s="9"/>
    </row>
    <row r="185" customFormat="false" ht="18.7" hidden="false" customHeight="true" outlineLevel="0" collapsed="false">
      <c r="H185" s="9"/>
    </row>
    <row r="186" customFormat="false" ht="18.7" hidden="false" customHeight="true" outlineLevel="0" collapsed="false">
      <c r="H186" s="9"/>
    </row>
    <row r="187" customFormat="false" ht="18.7" hidden="false" customHeight="true" outlineLevel="0" collapsed="false">
      <c r="H187" s="9"/>
    </row>
    <row r="188" customFormat="false" ht="18.7" hidden="false" customHeight="true" outlineLevel="0" collapsed="false">
      <c r="H188" s="9"/>
    </row>
    <row r="189" customFormat="false" ht="18.7" hidden="false" customHeight="true" outlineLevel="0" collapsed="false">
      <c r="H189" s="9"/>
    </row>
    <row r="190" customFormat="false" ht="18.7" hidden="false" customHeight="true" outlineLevel="0" collapsed="false">
      <c r="H190" s="9"/>
    </row>
    <row r="191" customFormat="false" ht="18.7" hidden="false" customHeight="true" outlineLevel="0" collapsed="false">
      <c r="H191" s="9"/>
    </row>
    <row r="192" customFormat="false" ht="18.7" hidden="false" customHeight="true" outlineLevel="0" collapsed="false">
      <c r="H192" s="9"/>
    </row>
    <row r="193" customFormat="false" ht="18.7" hidden="false" customHeight="true" outlineLevel="0" collapsed="false">
      <c r="H193" s="9"/>
    </row>
    <row r="194" customFormat="false" ht="18.7" hidden="false" customHeight="true" outlineLevel="0" collapsed="false">
      <c r="H194" s="9"/>
    </row>
    <row r="195" customFormat="false" ht="18.7" hidden="false" customHeight="true" outlineLevel="0" collapsed="false">
      <c r="H195" s="9"/>
    </row>
    <row r="196" customFormat="false" ht="18.7" hidden="false" customHeight="true" outlineLevel="0" collapsed="false">
      <c r="H196" s="9"/>
    </row>
    <row r="197" customFormat="false" ht="18.7" hidden="false" customHeight="true" outlineLevel="0" collapsed="false">
      <c r="H197" s="9"/>
    </row>
    <row r="198" customFormat="false" ht="18.7" hidden="false" customHeight="true" outlineLevel="0" collapsed="false">
      <c r="H198" s="9"/>
    </row>
    <row r="199" customFormat="false" ht="18.7" hidden="false" customHeight="true" outlineLevel="0" collapsed="false">
      <c r="H199" s="9"/>
    </row>
    <row r="200" customFormat="false" ht="18.7" hidden="false" customHeight="true" outlineLevel="0" collapsed="false">
      <c r="H200" s="9"/>
    </row>
    <row r="201" customFormat="false" ht="18.7" hidden="false" customHeight="true" outlineLevel="0" collapsed="false">
      <c r="H201" s="9"/>
    </row>
    <row r="202" customFormat="false" ht="18.7" hidden="false" customHeight="true" outlineLevel="0" collapsed="false">
      <c r="H202" s="9"/>
    </row>
    <row r="203" customFormat="false" ht="18.7" hidden="false" customHeight="true" outlineLevel="0" collapsed="false">
      <c r="H203" s="9"/>
    </row>
    <row r="204" customFormat="false" ht="18.7" hidden="false" customHeight="true" outlineLevel="0" collapsed="false">
      <c r="H204" s="9"/>
    </row>
    <row r="205" customFormat="false" ht="18.7" hidden="false" customHeight="true" outlineLevel="0" collapsed="false">
      <c r="H205" s="9"/>
    </row>
    <row r="206" customFormat="false" ht="18.7" hidden="false" customHeight="true" outlineLevel="0" collapsed="false">
      <c r="H206" s="9"/>
    </row>
    <row r="207" customFormat="false" ht="18.7" hidden="false" customHeight="true" outlineLevel="0" collapsed="false">
      <c r="H207" s="9"/>
    </row>
    <row r="208" customFormat="false" ht="18.7" hidden="false" customHeight="true" outlineLevel="0" collapsed="false">
      <c r="H208" s="9"/>
    </row>
    <row r="209" customFormat="false" ht="18.7" hidden="false" customHeight="true" outlineLevel="0" collapsed="false">
      <c r="H209" s="9"/>
    </row>
    <row r="210" customFormat="false" ht="18.7" hidden="false" customHeight="true" outlineLevel="0" collapsed="false">
      <c r="H210" s="9"/>
    </row>
    <row r="211" customFormat="false" ht="18.7" hidden="false" customHeight="true" outlineLevel="0" collapsed="false">
      <c r="H211" s="9"/>
    </row>
    <row r="212" customFormat="false" ht="18.7" hidden="false" customHeight="true" outlineLevel="0" collapsed="false">
      <c r="H212" s="9"/>
    </row>
    <row r="213" customFormat="false" ht="18.7" hidden="false" customHeight="true" outlineLevel="0" collapsed="false">
      <c r="H213" s="9"/>
    </row>
    <row r="214" customFormat="false" ht="18.7" hidden="false" customHeight="true" outlineLevel="0" collapsed="false">
      <c r="H214" s="9"/>
    </row>
    <row r="215" customFormat="false" ht="18.7" hidden="false" customHeight="true" outlineLevel="0" collapsed="false">
      <c r="H215" s="9"/>
    </row>
    <row r="216" customFormat="false" ht="18.7" hidden="false" customHeight="true" outlineLevel="0" collapsed="false">
      <c r="H216" s="9"/>
    </row>
    <row r="217" customFormat="false" ht="18.7" hidden="false" customHeight="true" outlineLevel="0" collapsed="false">
      <c r="H217" s="9"/>
    </row>
    <row r="218" customFormat="false" ht="18.7" hidden="false" customHeight="true" outlineLevel="0" collapsed="false">
      <c r="H218" s="9"/>
    </row>
    <row r="219" customFormat="false" ht="18.7" hidden="false" customHeight="true" outlineLevel="0" collapsed="false">
      <c r="H219" s="9"/>
    </row>
    <row r="220" customFormat="false" ht="18.7" hidden="false" customHeight="true" outlineLevel="0" collapsed="false">
      <c r="H220" s="9"/>
    </row>
    <row r="221" customFormat="false" ht="18.7" hidden="false" customHeight="true" outlineLevel="0" collapsed="false">
      <c r="H221" s="9"/>
    </row>
    <row r="222" customFormat="false" ht="18.7" hidden="false" customHeight="true" outlineLevel="0" collapsed="false">
      <c r="H222" s="9"/>
    </row>
    <row r="223" customFormat="false" ht="18.7" hidden="false" customHeight="true" outlineLevel="0" collapsed="false">
      <c r="H223" s="9"/>
    </row>
    <row r="224" customFormat="false" ht="18.7" hidden="false" customHeight="true" outlineLevel="0" collapsed="false">
      <c r="H224" s="9"/>
    </row>
    <row r="225" customFormat="false" ht="18.7" hidden="false" customHeight="true" outlineLevel="0" collapsed="false">
      <c r="H225" s="9"/>
    </row>
    <row r="226" customFormat="false" ht="18.7" hidden="false" customHeight="true" outlineLevel="0" collapsed="false">
      <c r="H226" s="9"/>
    </row>
    <row r="227" customFormat="false" ht="18.7" hidden="false" customHeight="true" outlineLevel="0" collapsed="false">
      <c r="H227" s="9"/>
    </row>
    <row r="228" customFormat="false" ht="18.7" hidden="false" customHeight="true" outlineLevel="0" collapsed="false">
      <c r="H228" s="9"/>
    </row>
    <row r="229" customFormat="false" ht="18.7" hidden="false" customHeight="true" outlineLevel="0" collapsed="false">
      <c r="H229" s="9"/>
    </row>
    <row r="230" customFormat="false" ht="18.7" hidden="false" customHeight="true" outlineLevel="0" collapsed="false">
      <c r="H230" s="9"/>
    </row>
    <row r="231" customFormat="false" ht="18.7" hidden="false" customHeight="true" outlineLevel="0" collapsed="false">
      <c r="H231" s="9"/>
    </row>
    <row r="232" customFormat="false" ht="18.7" hidden="false" customHeight="true" outlineLevel="0" collapsed="false">
      <c r="H232" s="9"/>
    </row>
    <row r="233" customFormat="false" ht="18.7" hidden="false" customHeight="true" outlineLevel="0" collapsed="false">
      <c r="H233" s="9"/>
    </row>
    <row r="234" customFormat="false" ht="18.7" hidden="false" customHeight="true" outlineLevel="0" collapsed="false">
      <c r="H234" s="9"/>
    </row>
    <row r="235" customFormat="false" ht="18.7" hidden="false" customHeight="true" outlineLevel="0" collapsed="false">
      <c r="H235" s="9"/>
    </row>
    <row r="236" customFormat="false" ht="18.7" hidden="false" customHeight="true" outlineLevel="0" collapsed="false">
      <c r="H236" s="9"/>
    </row>
    <row r="237" customFormat="false" ht="18.7" hidden="false" customHeight="true" outlineLevel="0" collapsed="false">
      <c r="H237" s="9"/>
    </row>
    <row r="238" customFormat="false" ht="18.7" hidden="false" customHeight="true" outlineLevel="0" collapsed="false">
      <c r="H238" s="9"/>
    </row>
    <row r="239" customFormat="false" ht="18.7" hidden="false" customHeight="true" outlineLevel="0" collapsed="false">
      <c r="H239" s="9"/>
    </row>
    <row r="240" customFormat="false" ht="18.7" hidden="false" customHeight="true" outlineLevel="0" collapsed="false">
      <c r="H240" s="9"/>
    </row>
    <row r="241" customFormat="false" ht="18.7" hidden="false" customHeight="true" outlineLevel="0" collapsed="false">
      <c r="H241" s="9"/>
    </row>
    <row r="242" customFormat="false" ht="18.7" hidden="false" customHeight="true" outlineLevel="0" collapsed="false">
      <c r="H242" s="9"/>
    </row>
    <row r="243" customFormat="false" ht="18.7" hidden="false" customHeight="true" outlineLevel="0" collapsed="false">
      <c r="H243" s="9"/>
    </row>
    <row r="244" customFormat="false" ht="18.7" hidden="false" customHeight="true" outlineLevel="0" collapsed="false">
      <c r="H244" s="9"/>
    </row>
    <row r="245" customFormat="false" ht="18.7" hidden="false" customHeight="true" outlineLevel="0" collapsed="false">
      <c r="H245" s="9"/>
    </row>
    <row r="246" customFormat="false" ht="18.7" hidden="false" customHeight="true" outlineLevel="0" collapsed="false">
      <c r="H246" s="9"/>
    </row>
    <row r="247" customFormat="false" ht="18.7" hidden="false" customHeight="true" outlineLevel="0" collapsed="false">
      <c r="H247" s="9"/>
    </row>
    <row r="248" customFormat="false" ht="18.7" hidden="false" customHeight="true" outlineLevel="0" collapsed="false">
      <c r="H248" s="9"/>
    </row>
    <row r="249" customFormat="false" ht="18.7" hidden="false" customHeight="true" outlineLevel="0" collapsed="false">
      <c r="H249" s="9"/>
    </row>
    <row r="250" customFormat="false" ht="18.7" hidden="false" customHeight="true" outlineLevel="0" collapsed="false">
      <c r="H250" s="9"/>
    </row>
    <row r="251" customFormat="false" ht="18.7" hidden="false" customHeight="true" outlineLevel="0" collapsed="false">
      <c r="H251" s="9"/>
    </row>
    <row r="252" customFormat="false" ht="18.7" hidden="false" customHeight="true" outlineLevel="0" collapsed="false">
      <c r="H252" s="9"/>
    </row>
    <row r="253" customFormat="false" ht="18.7" hidden="false" customHeight="true" outlineLevel="0" collapsed="false">
      <c r="H253" s="9"/>
    </row>
    <row r="254" customFormat="false" ht="18.7" hidden="false" customHeight="true" outlineLevel="0" collapsed="false">
      <c r="H254" s="9"/>
    </row>
    <row r="255" customFormat="false" ht="18.7" hidden="false" customHeight="true" outlineLevel="0" collapsed="false">
      <c r="H255" s="9"/>
    </row>
    <row r="256" customFormat="false" ht="18.7" hidden="false" customHeight="true" outlineLevel="0" collapsed="false">
      <c r="H256" s="9"/>
    </row>
    <row r="257" customFormat="false" ht="18.7" hidden="false" customHeight="true" outlineLevel="0" collapsed="false">
      <c r="H257" s="9"/>
    </row>
    <row r="258" customFormat="false" ht="18.7" hidden="false" customHeight="true" outlineLevel="0" collapsed="false">
      <c r="H258" s="9"/>
    </row>
    <row r="259" customFormat="false" ht="18.7" hidden="false" customHeight="true" outlineLevel="0" collapsed="false">
      <c r="H259" s="9"/>
    </row>
    <row r="260" customFormat="false" ht="18.7" hidden="false" customHeight="true" outlineLevel="0" collapsed="false">
      <c r="H260" s="9"/>
    </row>
    <row r="261" customFormat="false" ht="18.7" hidden="false" customHeight="true" outlineLevel="0" collapsed="false">
      <c r="H261" s="9"/>
    </row>
    <row r="262" customFormat="false" ht="18.7" hidden="false" customHeight="true" outlineLevel="0" collapsed="false">
      <c r="H262" s="9"/>
    </row>
    <row r="263" customFormat="false" ht="18.7" hidden="false" customHeight="true" outlineLevel="0" collapsed="false">
      <c r="H263" s="9"/>
    </row>
    <row r="264" customFormat="false" ht="18.7" hidden="false" customHeight="true" outlineLevel="0" collapsed="false">
      <c r="H264" s="9"/>
    </row>
    <row r="265" customFormat="false" ht="18.7" hidden="false" customHeight="true" outlineLevel="0" collapsed="false">
      <c r="H265" s="9"/>
    </row>
    <row r="266" customFormat="false" ht="18.7" hidden="false" customHeight="true" outlineLevel="0" collapsed="false">
      <c r="H266" s="9"/>
    </row>
    <row r="267" customFormat="false" ht="18.7" hidden="false" customHeight="true" outlineLevel="0" collapsed="false">
      <c r="H267" s="9"/>
    </row>
    <row r="268" customFormat="false" ht="18.7" hidden="false" customHeight="true" outlineLevel="0" collapsed="false">
      <c r="H268" s="9"/>
    </row>
    <row r="269" customFormat="false" ht="18.7" hidden="false" customHeight="true" outlineLevel="0" collapsed="false">
      <c r="H269" s="9"/>
    </row>
    <row r="270" customFormat="false" ht="18.7" hidden="false" customHeight="true" outlineLevel="0" collapsed="false">
      <c r="H270" s="9"/>
    </row>
    <row r="271" customFormat="false" ht="18.7" hidden="false" customHeight="true" outlineLevel="0" collapsed="false">
      <c r="H271" s="9"/>
    </row>
    <row r="272" customFormat="false" ht="18.7" hidden="false" customHeight="true" outlineLevel="0" collapsed="false">
      <c r="H272" s="9"/>
    </row>
    <row r="273" customFormat="false" ht="18.7" hidden="false" customHeight="true" outlineLevel="0" collapsed="false">
      <c r="H273" s="9"/>
    </row>
    <row r="274" customFormat="false" ht="18.7" hidden="false" customHeight="true" outlineLevel="0" collapsed="false">
      <c r="H274" s="9"/>
    </row>
    <row r="275" customFormat="false" ht="18.7" hidden="false" customHeight="true" outlineLevel="0" collapsed="false">
      <c r="H275" s="9"/>
    </row>
    <row r="276" customFormat="false" ht="18.7" hidden="false" customHeight="true" outlineLevel="0" collapsed="false">
      <c r="H276" s="9"/>
    </row>
    <row r="277" customFormat="false" ht="18.7" hidden="false" customHeight="true" outlineLevel="0" collapsed="false">
      <c r="H277" s="9"/>
    </row>
    <row r="278" customFormat="false" ht="18.7" hidden="false" customHeight="true" outlineLevel="0" collapsed="false">
      <c r="H278" s="9"/>
    </row>
    <row r="279" customFormat="false" ht="18.7" hidden="false" customHeight="true" outlineLevel="0" collapsed="false">
      <c r="H279" s="9"/>
    </row>
    <row r="280" customFormat="false" ht="18.7" hidden="false" customHeight="true" outlineLevel="0" collapsed="false">
      <c r="H280" s="9"/>
    </row>
    <row r="281" customFormat="false" ht="18.7" hidden="false" customHeight="true" outlineLevel="0" collapsed="false">
      <c r="H281" s="9"/>
    </row>
    <row r="282" customFormat="false" ht="18.7" hidden="false" customHeight="true" outlineLevel="0" collapsed="false">
      <c r="H282" s="9"/>
    </row>
    <row r="283" customFormat="false" ht="18.7" hidden="false" customHeight="true" outlineLevel="0" collapsed="false">
      <c r="H283" s="9"/>
    </row>
    <row r="284" customFormat="false" ht="18.7" hidden="false" customHeight="true" outlineLevel="0" collapsed="false">
      <c r="H284" s="9"/>
    </row>
    <row r="285" customFormat="false" ht="18.7" hidden="false" customHeight="true" outlineLevel="0" collapsed="false">
      <c r="H285" s="9"/>
    </row>
    <row r="286" customFormat="false" ht="18.7" hidden="false" customHeight="true" outlineLevel="0" collapsed="false">
      <c r="H286" s="9"/>
    </row>
    <row r="287" customFormat="false" ht="18.7" hidden="false" customHeight="true" outlineLevel="0" collapsed="false">
      <c r="H287" s="9"/>
    </row>
    <row r="288" customFormat="false" ht="18.7" hidden="false" customHeight="true" outlineLevel="0" collapsed="false">
      <c r="H288" s="9"/>
    </row>
    <row r="289" customFormat="false" ht="18.7" hidden="false" customHeight="true" outlineLevel="0" collapsed="false">
      <c r="H289" s="9"/>
    </row>
    <row r="290" customFormat="false" ht="18.7" hidden="false" customHeight="true" outlineLevel="0" collapsed="false">
      <c r="H290" s="9"/>
    </row>
    <row r="291" customFormat="false" ht="18.7" hidden="false" customHeight="true" outlineLevel="0" collapsed="false">
      <c r="H291" s="9"/>
    </row>
    <row r="292" customFormat="false" ht="18.7" hidden="false" customHeight="true" outlineLevel="0" collapsed="false">
      <c r="H292" s="9"/>
    </row>
    <row r="293" customFormat="false" ht="18.7" hidden="false" customHeight="true" outlineLevel="0" collapsed="false">
      <c r="H293" s="9"/>
    </row>
    <row r="294" customFormat="false" ht="18.7" hidden="false" customHeight="true" outlineLevel="0" collapsed="false">
      <c r="H294" s="9"/>
    </row>
    <row r="295" customFormat="false" ht="18.7" hidden="false" customHeight="true" outlineLevel="0" collapsed="false">
      <c r="H295" s="9"/>
    </row>
    <row r="296" customFormat="false" ht="18.7" hidden="false" customHeight="true" outlineLevel="0" collapsed="false">
      <c r="H296" s="9"/>
    </row>
    <row r="297" customFormat="false" ht="18.7" hidden="false" customHeight="true" outlineLevel="0" collapsed="false">
      <c r="H297" s="9"/>
    </row>
    <row r="298" customFormat="false" ht="18.7" hidden="false" customHeight="true" outlineLevel="0" collapsed="false">
      <c r="H298" s="9"/>
    </row>
    <row r="299" customFormat="false" ht="18.7" hidden="false" customHeight="true" outlineLevel="0" collapsed="false">
      <c r="H299" s="9"/>
    </row>
    <row r="300" customFormat="false" ht="18.7" hidden="false" customHeight="true" outlineLevel="0" collapsed="false">
      <c r="H300" s="9"/>
    </row>
    <row r="301" customFormat="false" ht="18.7" hidden="false" customHeight="true" outlineLevel="0" collapsed="false">
      <c r="H301" s="9"/>
    </row>
    <row r="302" customFormat="false" ht="18.7" hidden="false" customHeight="true" outlineLevel="0" collapsed="false">
      <c r="H302" s="9"/>
    </row>
    <row r="303" customFormat="false" ht="18.7" hidden="false" customHeight="true" outlineLevel="0" collapsed="false">
      <c r="H303" s="9"/>
    </row>
    <row r="304" customFormat="false" ht="18.7" hidden="false" customHeight="true" outlineLevel="0" collapsed="false">
      <c r="H304" s="9"/>
    </row>
    <row r="305" customFormat="false" ht="18.7" hidden="false" customHeight="true" outlineLevel="0" collapsed="false">
      <c r="H305" s="9"/>
    </row>
    <row r="306" customFormat="false" ht="18.7" hidden="false" customHeight="true" outlineLevel="0" collapsed="false">
      <c r="H306" s="9"/>
    </row>
    <row r="307" customFormat="false" ht="18.7" hidden="false" customHeight="true" outlineLevel="0" collapsed="false">
      <c r="H307" s="9"/>
    </row>
    <row r="308" customFormat="false" ht="18.7" hidden="false" customHeight="true" outlineLevel="0" collapsed="false">
      <c r="H308" s="9"/>
    </row>
    <row r="309" customFormat="false" ht="18.7" hidden="false" customHeight="true" outlineLevel="0" collapsed="false">
      <c r="H309" s="9"/>
    </row>
    <row r="310" customFormat="false" ht="18.7" hidden="false" customHeight="true" outlineLevel="0" collapsed="false">
      <c r="H310" s="9"/>
    </row>
    <row r="311" customFormat="false" ht="18.7" hidden="false" customHeight="true" outlineLevel="0" collapsed="false">
      <c r="H311" s="9"/>
    </row>
    <row r="312" customFormat="false" ht="18.7" hidden="false" customHeight="true" outlineLevel="0" collapsed="false">
      <c r="H312" s="9"/>
    </row>
    <row r="313" customFormat="false" ht="18.7" hidden="false" customHeight="true" outlineLevel="0" collapsed="false">
      <c r="H313" s="9"/>
    </row>
    <row r="314" customFormat="false" ht="18.7" hidden="false" customHeight="true" outlineLevel="0" collapsed="false">
      <c r="H314" s="9"/>
    </row>
    <row r="315" customFormat="false" ht="18.7" hidden="false" customHeight="true" outlineLevel="0" collapsed="false">
      <c r="H315" s="9"/>
    </row>
    <row r="316" customFormat="false" ht="18.7" hidden="false" customHeight="true" outlineLevel="0" collapsed="false">
      <c r="H316" s="9"/>
    </row>
    <row r="317" customFormat="false" ht="18.7" hidden="false" customHeight="true" outlineLevel="0" collapsed="false">
      <c r="H317" s="9"/>
    </row>
    <row r="318" customFormat="false" ht="18.7" hidden="false" customHeight="true" outlineLevel="0" collapsed="false">
      <c r="H318" s="9"/>
    </row>
    <row r="319" customFormat="false" ht="18.7" hidden="false" customHeight="true" outlineLevel="0" collapsed="false">
      <c r="H319" s="9"/>
    </row>
    <row r="320" customFormat="false" ht="18.7" hidden="false" customHeight="true" outlineLevel="0" collapsed="false">
      <c r="H320" s="9"/>
    </row>
    <row r="321" customFormat="false" ht="18.7" hidden="false" customHeight="true" outlineLevel="0" collapsed="false">
      <c r="H321" s="9"/>
    </row>
    <row r="322" customFormat="false" ht="18.7" hidden="false" customHeight="true" outlineLevel="0" collapsed="false">
      <c r="H322" s="9"/>
    </row>
    <row r="323" customFormat="false" ht="18.7" hidden="false" customHeight="true" outlineLevel="0" collapsed="false">
      <c r="H323" s="9"/>
    </row>
    <row r="324" customFormat="false" ht="18.7" hidden="false" customHeight="true" outlineLevel="0" collapsed="false">
      <c r="H324" s="9"/>
    </row>
    <row r="325" customFormat="false" ht="18.7" hidden="false" customHeight="true" outlineLevel="0" collapsed="false">
      <c r="H325" s="9"/>
    </row>
    <row r="326" customFormat="false" ht="18.7" hidden="false" customHeight="true" outlineLevel="0" collapsed="false">
      <c r="H326" s="9"/>
    </row>
    <row r="327" customFormat="false" ht="18.7" hidden="false" customHeight="true" outlineLevel="0" collapsed="false">
      <c r="H327" s="9"/>
    </row>
    <row r="328" customFormat="false" ht="18.7" hidden="false" customHeight="true" outlineLevel="0" collapsed="false">
      <c r="H328" s="9"/>
    </row>
    <row r="329" customFormat="false" ht="18.7" hidden="false" customHeight="true" outlineLevel="0" collapsed="false">
      <c r="H329" s="9"/>
    </row>
    <row r="330" customFormat="false" ht="18.7" hidden="false" customHeight="true" outlineLevel="0" collapsed="false">
      <c r="H330" s="9"/>
    </row>
    <row r="331" customFormat="false" ht="18.7" hidden="false" customHeight="true" outlineLevel="0" collapsed="false">
      <c r="H331" s="9"/>
    </row>
    <row r="332" customFormat="false" ht="18.7" hidden="false" customHeight="true" outlineLevel="0" collapsed="false">
      <c r="H332" s="9"/>
    </row>
    <row r="333" customFormat="false" ht="18.7" hidden="false" customHeight="true" outlineLevel="0" collapsed="false">
      <c r="H333" s="9"/>
    </row>
    <row r="334" customFormat="false" ht="18.7" hidden="false" customHeight="true" outlineLevel="0" collapsed="false">
      <c r="H334" s="9"/>
    </row>
    <row r="335" customFormat="false" ht="18.7" hidden="false" customHeight="true" outlineLevel="0" collapsed="false">
      <c r="H335" s="9"/>
    </row>
    <row r="336" customFormat="false" ht="18.7" hidden="false" customHeight="true" outlineLevel="0" collapsed="false">
      <c r="H336" s="9"/>
    </row>
    <row r="337" customFormat="false" ht="18.7" hidden="false" customHeight="true" outlineLevel="0" collapsed="false">
      <c r="H337" s="9"/>
    </row>
    <row r="338" customFormat="false" ht="18.7" hidden="false" customHeight="true" outlineLevel="0" collapsed="false">
      <c r="H338" s="9"/>
    </row>
    <row r="339" customFormat="false" ht="18.7" hidden="false" customHeight="true" outlineLevel="0" collapsed="false">
      <c r="H339" s="9"/>
    </row>
    <row r="340" customFormat="false" ht="18.7" hidden="false" customHeight="true" outlineLevel="0" collapsed="false">
      <c r="H340" s="9"/>
    </row>
    <row r="341" customFormat="false" ht="18.7" hidden="false" customHeight="true" outlineLevel="0" collapsed="false">
      <c r="H341" s="9"/>
    </row>
    <row r="342" customFormat="false" ht="18.7" hidden="false" customHeight="true" outlineLevel="0" collapsed="false">
      <c r="H342" s="9"/>
    </row>
    <row r="343" customFormat="false" ht="18.7" hidden="false" customHeight="true" outlineLevel="0" collapsed="false">
      <c r="H343" s="9"/>
    </row>
    <row r="344" customFormat="false" ht="18.7" hidden="false" customHeight="true" outlineLevel="0" collapsed="false">
      <c r="H344" s="9"/>
    </row>
    <row r="345" customFormat="false" ht="18.7" hidden="false" customHeight="true" outlineLevel="0" collapsed="false">
      <c r="H345" s="9"/>
    </row>
    <row r="346" customFormat="false" ht="18.7" hidden="false" customHeight="true" outlineLevel="0" collapsed="false">
      <c r="H346" s="9"/>
    </row>
    <row r="347" customFormat="false" ht="18.7" hidden="false" customHeight="true" outlineLevel="0" collapsed="false">
      <c r="H347" s="9"/>
    </row>
    <row r="348" customFormat="false" ht="18.7" hidden="false" customHeight="true" outlineLevel="0" collapsed="false">
      <c r="H348" s="9"/>
    </row>
    <row r="349" customFormat="false" ht="18.7" hidden="false" customHeight="true" outlineLevel="0" collapsed="false">
      <c r="H349" s="9"/>
    </row>
    <row r="350" customFormat="false" ht="18.7" hidden="false" customHeight="true" outlineLevel="0" collapsed="false">
      <c r="H350" s="9"/>
    </row>
    <row r="351" customFormat="false" ht="18.7" hidden="false" customHeight="true" outlineLevel="0" collapsed="false">
      <c r="H351" s="9"/>
    </row>
    <row r="352" customFormat="false" ht="18.7" hidden="false" customHeight="true" outlineLevel="0" collapsed="false">
      <c r="H352" s="9"/>
    </row>
    <row r="353" customFormat="false" ht="18.7" hidden="false" customHeight="true" outlineLevel="0" collapsed="false">
      <c r="H353" s="9"/>
    </row>
    <row r="354" customFormat="false" ht="18.7" hidden="false" customHeight="true" outlineLevel="0" collapsed="false">
      <c r="H354" s="9"/>
    </row>
    <row r="355" customFormat="false" ht="18.7" hidden="false" customHeight="true" outlineLevel="0" collapsed="false">
      <c r="H355" s="9"/>
    </row>
    <row r="356" customFormat="false" ht="18.7" hidden="false" customHeight="true" outlineLevel="0" collapsed="false">
      <c r="H356" s="9"/>
    </row>
    <row r="357" customFormat="false" ht="18.7" hidden="false" customHeight="true" outlineLevel="0" collapsed="false">
      <c r="H357" s="9"/>
    </row>
    <row r="358" customFormat="false" ht="18.7" hidden="false" customHeight="true" outlineLevel="0" collapsed="false">
      <c r="H358" s="9"/>
    </row>
    <row r="359" customFormat="false" ht="18.7" hidden="false" customHeight="true" outlineLevel="0" collapsed="false">
      <c r="H359" s="9"/>
    </row>
    <row r="360" customFormat="false" ht="18.7" hidden="false" customHeight="true" outlineLevel="0" collapsed="false">
      <c r="H360" s="9"/>
    </row>
    <row r="361" customFormat="false" ht="18.7" hidden="false" customHeight="true" outlineLevel="0" collapsed="false">
      <c r="H361" s="9"/>
    </row>
    <row r="362" customFormat="false" ht="18.7" hidden="false" customHeight="true" outlineLevel="0" collapsed="false">
      <c r="H362" s="9"/>
    </row>
    <row r="363" customFormat="false" ht="18.7" hidden="false" customHeight="true" outlineLevel="0" collapsed="false">
      <c r="H363" s="9"/>
    </row>
    <row r="364" customFormat="false" ht="18.7" hidden="false" customHeight="true" outlineLevel="0" collapsed="false">
      <c r="H364" s="9"/>
    </row>
    <row r="365" customFormat="false" ht="18.7" hidden="false" customHeight="true" outlineLevel="0" collapsed="false">
      <c r="H365" s="9"/>
    </row>
    <row r="366" customFormat="false" ht="18.7" hidden="false" customHeight="true" outlineLevel="0" collapsed="false">
      <c r="H366" s="9"/>
    </row>
    <row r="367" customFormat="false" ht="18.7" hidden="false" customHeight="true" outlineLevel="0" collapsed="false">
      <c r="H367" s="9"/>
    </row>
    <row r="368" customFormat="false" ht="18.7" hidden="false" customHeight="true" outlineLevel="0" collapsed="false">
      <c r="H368" s="9"/>
    </row>
    <row r="369" customFormat="false" ht="18.7" hidden="false" customHeight="true" outlineLevel="0" collapsed="false">
      <c r="H369" s="9"/>
    </row>
    <row r="370" customFormat="false" ht="18.7" hidden="false" customHeight="true" outlineLevel="0" collapsed="false">
      <c r="H370" s="9"/>
    </row>
    <row r="371" customFormat="false" ht="18.7" hidden="false" customHeight="true" outlineLevel="0" collapsed="false">
      <c r="H371" s="9"/>
    </row>
    <row r="372" customFormat="false" ht="18.7" hidden="false" customHeight="true" outlineLevel="0" collapsed="false">
      <c r="H372" s="9"/>
    </row>
    <row r="373" customFormat="false" ht="18.7" hidden="false" customHeight="true" outlineLevel="0" collapsed="false">
      <c r="H373" s="9"/>
    </row>
    <row r="374" customFormat="false" ht="18.7" hidden="false" customHeight="true" outlineLevel="0" collapsed="false">
      <c r="H374" s="9"/>
    </row>
    <row r="375" customFormat="false" ht="18.7" hidden="false" customHeight="true" outlineLevel="0" collapsed="false">
      <c r="H375" s="9"/>
    </row>
    <row r="376" customFormat="false" ht="18.7" hidden="false" customHeight="true" outlineLevel="0" collapsed="false">
      <c r="H376" s="9"/>
    </row>
    <row r="377" customFormat="false" ht="18.7" hidden="false" customHeight="true" outlineLevel="0" collapsed="false">
      <c r="H377" s="9"/>
    </row>
    <row r="378" customFormat="false" ht="18.7" hidden="false" customHeight="true" outlineLevel="0" collapsed="false">
      <c r="H378" s="9"/>
    </row>
    <row r="379" customFormat="false" ht="18.7" hidden="false" customHeight="true" outlineLevel="0" collapsed="false">
      <c r="H379" s="9"/>
    </row>
    <row r="380" customFormat="false" ht="18.7" hidden="false" customHeight="true" outlineLevel="0" collapsed="false">
      <c r="H380" s="9"/>
    </row>
    <row r="381" customFormat="false" ht="18.7" hidden="false" customHeight="true" outlineLevel="0" collapsed="false">
      <c r="H381" s="9"/>
    </row>
    <row r="382" customFormat="false" ht="18.7" hidden="false" customHeight="true" outlineLevel="0" collapsed="false">
      <c r="H382" s="9"/>
    </row>
    <row r="383" customFormat="false" ht="18.7" hidden="false" customHeight="true" outlineLevel="0" collapsed="false">
      <c r="H383" s="9"/>
    </row>
    <row r="384" customFormat="false" ht="18.7" hidden="false" customHeight="true" outlineLevel="0" collapsed="false">
      <c r="H384" s="9"/>
    </row>
    <row r="385" customFormat="false" ht="18.7" hidden="false" customHeight="true" outlineLevel="0" collapsed="false">
      <c r="H385" s="9"/>
    </row>
    <row r="386" customFormat="false" ht="18.7" hidden="false" customHeight="true" outlineLevel="0" collapsed="false">
      <c r="H386" s="9"/>
    </row>
    <row r="387" customFormat="false" ht="18.7" hidden="false" customHeight="true" outlineLevel="0" collapsed="false">
      <c r="H387" s="9"/>
    </row>
    <row r="388" customFormat="false" ht="18.7" hidden="false" customHeight="true" outlineLevel="0" collapsed="false">
      <c r="H388" s="9"/>
    </row>
    <row r="389" customFormat="false" ht="18.7" hidden="false" customHeight="true" outlineLevel="0" collapsed="false">
      <c r="H389" s="9"/>
    </row>
    <row r="390" customFormat="false" ht="18.7" hidden="false" customHeight="true" outlineLevel="0" collapsed="false">
      <c r="H390" s="9"/>
    </row>
    <row r="391" customFormat="false" ht="18.7" hidden="false" customHeight="true" outlineLevel="0" collapsed="false">
      <c r="H391" s="9"/>
    </row>
    <row r="392" customFormat="false" ht="18.7" hidden="false" customHeight="true" outlineLevel="0" collapsed="false">
      <c r="H392" s="9"/>
    </row>
    <row r="393" customFormat="false" ht="18.7" hidden="false" customHeight="true" outlineLevel="0" collapsed="false">
      <c r="H393" s="9"/>
    </row>
    <row r="394" customFormat="false" ht="18.7" hidden="false" customHeight="true" outlineLevel="0" collapsed="false">
      <c r="H394" s="9"/>
    </row>
    <row r="395" customFormat="false" ht="18.7" hidden="false" customHeight="true" outlineLevel="0" collapsed="false">
      <c r="H395" s="9"/>
    </row>
    <row r="396" customFormat="false" ht="18.7" hidden="false" customHeight="true" outlineLevel="0" collapsed="false">
      <c r="H396" s="9"/>
    </row>
    <row r="397" customFormat="false" ht="18.7" hidden="false" customHeight="true" outlineLevel="0" collapsed="false">
      <c r="H397" s="9"/>
    </row>
    <row r="398" customFormat="false" ht="18.7" hidden="false" customHeight="true" outlineLevel="0" collapsed="false">
      <c r="H398" s="9"/>
    </row>
    <row r="399" customFormat="false" ht="18.7" hidden="false" customHeight="true" outlineLevel="0" collapsed="false">
      <c r="H399" s="9"/>
    </row>
    <row r="400" customFormat="false" ht="18.7" hidden="false" customHeight="true" outlineLevel="0" collapsed="false">
      <c r="H400" s="9"/>
    </row>
    <row r="401" customFormat="false" ht="18.7" hidden="false" customHeight="true" outlineLevel="0" collapsed="false">
      <c r="H401" s="9"/>
    </row>
    <row r="402" customFormat="false" ht="18.7" hidden="false" customHeight="true" outlineLevel="0" collapsed="false">
      <c r="H402" s="9"/>
    </row>
    <row r="403" customFormat="false" ht="18.7" hidden="false" customHeight="true" outlineLevel="0" collapsed="false">
      <c r="H403" s="9"/>
    </row>
    <row r="404" customFormat="false" ht="18.7" hidden="false" customHeight="true" outlineLevel="0" collapsed="false">
      <c r="H404" s="9"/>
    </row>
    <row r="405" customFormat="false" ht="18.7" hidden="false" customHeight="true" outlineLevel="0" collapsed="false">
      <c r="H405" s="9"/>
    </row>
    <row r="406" customFormat="false" ht="18.7" hidden="false" customHeight="true" outlineLevel="0" collapsed="false">
      <c r="H406" s="9"/>
    </row>
    <row r="407" customFormat="false" ht="18.7" hidden="false" customHeight="true" outlineLevel="0" collapsed="false">
      <c r="H407" s="9"/>
    </row>
    <row r="408" customFormat="false" ht="18.7" hidden="false" customHeight="true" outlineLevel="0" collapsed="false">
      <c r="H408" s="9"/>
    </row>
    <row r="409" customFormat="false" ht="18.7" hidden="false" customHeight="true" outlineLevel="0" collapsed="false">
      <c r="H409" s="9"/>
    </row>
    <row r="410" customFormat="false" ht="18.7" hidden="false" customHeight="true" outlineLevel="0" collapsed="false">
      <c r="H410" s="9"/>
    </row>
    <row r="411" customFormat="false" ht="18.7" hidden="false" customHeight="true" outlineLevel="0" collapsed="false">
      <c r="H411" s="9"/>
    </row>
    <row r="412" customFormat="false" ht="18.7" hidden="false" customHeight="true" outlineLevel="0" collapsed="false">
      <c r="H412" s="9"/>
    </row>
    <row r="413" customFormat="false" ht="18.7" hidden="false" customHeight="true" outlineLevel="0" collapsed="false">
      <c r="H413" s="9"/>
    </row>
    <row r="414" customFormat="false" ht="18.7" hidden="false" customHeight="true" outlineLevel="0" collapsed="false">
      <c r="H414" s="9"/>
    </row>
    <row r="415" customFormat="false" ht="18.7" hidden="false" customHeight="true" outlineLevel="0" collapsed="false">
      <c r="H415" s="9"/>
    </row>
    <row r="416" customFormat="false" ht="18.7" hidden="false" customHeight="true" outlineLevel="0" collapsed="false">
      <c r="H416" s="9"/>
    </row>
    <row r="417" customFormat="false" ht="18.7" hidden="false" customHeight="true" outlineLevel="0" collapsed="false">
      <c r="H417" s="9"/>
    </row>
    <row r="418" customFormat="false" ht="18.7" hidden="false" customHeight="true" outlineLevel="0" collapsed="false">
      <c r="H418" s="9"/>
    </row>
    <row r="419" customFormat="false" ht="18.7" hidden="false" customHeight="true" outlineLevel="0" collapsed="false">
      <c r="H419" s="9"/>
    </row>
    <row r="420" customFormat="false" ht="18.7" hidden="false" customHeight="true" outlineLevel="0" collapsed="false">
      <c r="H420" s="9"/>
    </row>
    <row r="421" customFormat="false" ht="18.7" hidden="false" customHeight="true" outlineLevel="0" collapsed="false">
      <c r="H421" s="9"/>
    </row>
    <row r="422" customFormat="false" ht="18.7" hidden="false" customHeight="true" outlineLevel="0" collapsed="false">
      <c r="H422" s="9"/>
    </row>
    <row r="423" customFormat="false" ht="18.7" hidden="false" customHeight="true" outlineLevel="0" collapsed="false">
      <c r="H423" s="9"/>
    </row>
    <row r="424" customFormat="false" ht="18.7" hidden="false" customHeight="true" outlineLevel="0" collapsed="false">
      <c r="H424" s="9"/>
    </row>
    <row r="425" customFormat="false" ht="18.7" hidden="false" customHeight="true" outlineLevel="0" collapsed="false">
      <c r="H425" s="9"/>
    </row>
    <row r="426" customFormat="false" ht="18.7" hidden="false" customHeight="true" outlineLevel="0" collapsed="false">
      <c r="H426" s="9"/>
    </row>
    <row r="427" customFormat="false" ht="18.7" hidden="false" customHeight="true" outlineLevel="0" collapsed="false">
      <c r="H427" s="9"/>
    </row>
    <row r="428" customFormat="false" ht="18.7" hidden="false" customHeight="true" outlineLevel="0" collapsed="false">
      <c r="H428" s="9"/>
    </row>
    <row r="429" customFormat="false" ht="18.7" hidden="false" customHeight="true" outlineLevel="0" collapsed="false">
      <c r="H429" s="9"/>
    </row>
    <row r="430" customFormat="false" ht="18.7" hidden="false" customHeight="true" outlineLevel="0" collapsed="false">
      <c r="H430" s="9"/>
    </row>
    <row r="431" customFormat="false" ht="18.7" hidden="false" customHeight="true" outlineLevel="0" collapsed="false">
      <c r="H431" s="9"/>
    </row>
    <row r="432" customFormat="false" ht="18.7" hidden="false" customHeight="true" outlineLevel="0" collapsed="false">
      <c r="H432" s="9"/>
    </row>
    <row r="433" customFormat="false" ht="18.7" hidden="false" customHeight="true" outlineLevel="0" collapsed="false">
      <c r="H433" s="9"/>
    </row>
    <row r="434" customFormat="false" ht="18.7" hidden="false" customHeight="true" outlineLevel="0" collapsed="false">
      <c r="H434" s="9"/>
    </row>
    <row r="435" customFormat="false" ht="18.7" hidden="false" customHeight="true" outlineLevel="0" collapsed="false">
      <c r="H435" s="9"/>
    </row>
    <row r="436" customFormat="false" ht="18.7" hidden="false" customHeight="true" outlineLevel="0" collapsed="false">
      <c r="H436" s="9"/>
    </row>
    <row r="437" customFormat="false" ht="18.7" hidden="false" customHeight="true" outlineLevel="0" collapsed="false">
      <c r="H437" s="9"/>
    </row>
    <row r="438" customFormat="false" ht="18.7" hidden="false" customHeight="true" outlineLevel="0" collapsed="false">
      <c r="H438" s="9"/>
    </row>
    <row r="439" customFormat="false" ht="18.7" hidden="false" customHeight="true" outlineLevel="0" collapsed="false">
      <c r="H439" s="9"/>
    </row>
    <row r="440" customFormat="false" ht="18.7" hidden="false" customHeight="true" outlineLevel="0" collapsed="false">
      <c r="H440" s="9"/>
    </row>
    <row r="441" customFormat="false" ht="18.7" hidden="false" customHeight="true" outlineLevel="0" collapsed="false">
      <c r="H441" s="9"/>
    </row>
    <row r="442" customFormat="false" ht="18.7" hidden="false" customHeight="true" outlineLevel="0" collapsed="false">
      <c r="H442" s="9"/>
    </row>
    <row r="443" customFormat="false" ht="18.7" hidden="false" customHeight="true" outlineLevel="0" collapsed="false">
      <c r="H443" s="9"/>
    </row>
    <row r="444" customFormat="false" ht="18.7" hidden="false" customHeight="true" outlineLevel="0" collapsed="false">
      <c r="H444" s="9"/>
    </row>
    <row r="445" customFormat="false" ht="18.7" hidden="false" customHeight="true" outlineLevel="0" collapsed="false">
      <c r="H445" s="9"/>
    </row>
    <row r="446" customFormat="false" ht="18.7" hidden="false" customHeight="true" outlineLevel="0" collapsed="false">
      <c r="H446" s="9"/>
    </row>
    <row r="447" customFormat="false" ht="18.7" hidden="false" customHeight="true" outlineLevel="0" collapsed="false">
      <c r="H447" s="9"/>
    </row>
    <row r="448" customFormat="false" ht="18.7" hidden="false" customHeight="true" outlineLevel="0" collapsed="false">
      <c r="H448" s="9"/>
    </row>
    <row r="449" customFormat="false" ht="18.7" hidden="false" customHeight="true" outlineLevel="0" collapsed="false">
      <c r="H449" s="9"/>
    </row>
    <row r="450" customFormat="false" ht="18.7" hidden="false" customHeight="true" outlineLevel="0" collapsed="false">
      <c r="H450" s="9"/>
    </row>
    <row r="451" customFormat="false" ht="18.7" hidden="false" customHeight="true" outlineLevel="0" collapsed="false">
      <c r="H451" s="9"/>
    </row>
    <row r="452" customFormat="false" ht="18.7" hidden="false" customHeight="true" outlineLevel="0" collapsed="false">
      <c r="H452" s="9"/>
    </row>
    <row r="453" customFormat="false" ht="18.7" hidden="false" customHeight="true" outlineLevel="0" collapsed="false">
      <c r="H453" s="9"/>
    </row>
    <row r="454" customFormat="false" ht="18.7" hidden="false" customHeight="true" outlineLevel="0" collapsed="false">
      <c r="H454" s="9"/>
    </row>
    <row r="455" customFormat="false" ht="18.7" hidden="false" customHeight="true" outlineLevel="0" collapsed="false">
      <c r="H455" s="9"/>
    </row>
    <row r="456" customFormat="false" ht="18.7" hidden="false" customHeight="true" outlineLevel="0" collapsed="false">
      <c r="H456" s="9"/>
    </row>
    <row r="457" customFormat="false" ht="18.7" hidden="false" customHeight="true" outlineLevel="0" collapsed="false">
      <c r="H457" s="9"/>
    </row>
    <row r="458" customFormat="false" ht="18.7" hidden="false" customHeight="true" outlineLevel="0" collapsed="false">
      <c r="H458" s="9"/>
    </row>
    <row r="459" customFormat="false" ht="18.7" hidden="false" customHeight="true" outlineLevel="0" collapsed="false">
      <c r="H459" s="9"/>
    </row>
    <row r="460" customFormat="false" ht="18.7" hidden="false" customHeight="true" outlineLevel="0" collapsed="false">
      <c r="H460" s="9"/>
    </row>
    <row r="461" customFormat="false" ht="18.7" hidden="false" customHeight="true" outlineLevel="0" collapsed="false">
      <c r="H461" s="9"/>
    </row>
    <row r="462" customFormat="false" ht="18.7" hidden="false" customHeight="true" outlineLevel="0" collapsed="false">
      <c r="H462" s="9"/>
    </row>
    <row r="463" customFormat="false" ht="18.7" hidden="false" customHeight="true" outlineLevel="0" collapsed="false">
      <c r="H463" s="9"/>
    </row>
    <row r="464" customFormat="false" ht="18.7" hidden="false" customHeight="true" outlineLevel="0" collapsed="false">
      <c r="H464" s="9"/>
    </row>
    <row r="465" customFormat="false" ht="18.7" hidden="false" customHeight="true" outlineLevel="0" collapsed="false">
      <c r="H465" s="9"/>
    </row>
    <row r="466" customFormat="false" ht="18.7" hidden="false" customHeight="true" outlineLevel="0" collapsed="false">
      <c r="H466" s="9"/>
    </row>
    <row r="467" customFormat="false" ht="18.7" hidden="false" customHeight="true" outlineLevel="0" collapsed="false">
      <c r="H467" s="9"/>
    </row>
    <row r="468" customFormat="false" ht="18.7" hidden="false" customHeight="true" outlineLevel="0" collapsed="false">
      <c r="H468" s="9"/>
    </row>
    <row r="469" customFormat="false" ht="18.7" hidden="false" customHeight="true" outlineLevel="0" collapsed="false">
      <c r="H469" s="9"/>
    </row>
    <row r="470" customFormat="false" ht="18.7" hidden="false" customHeight="true" outlineLevel="0" collapsed="false">
      <c r="H470" s="9"/>
    </row>
    <row r="471" customFormat="false" ht="18.7" hidden="false" customHeight="true" outlineLevel="0" collapsed="false">
      <c r="H471" s="9"/>
    </row>
    <row r="472" customFormat="false" ht="18.7" hidden="false" customHeight="true" outlineLevel="0" collapsed="false">
      <c r="H472" s="9"/>
    </row>
    <row r="473" customFormat="false" ht="18.7" hidden="false" customHeight="true" outlineLevel="0" collapsed="false">
      <c r="H473" s="9"/>
    </row>
    <row r="474" customFormat="false" ht="18.7" hidden="false" customHeight="true" outlineLevel="0" collapsed="false">
      <c r="H474" s="9"/>
    </row>
    <row r="475" customFormat="false" ht="18.7" hidden="false" customHeight="true" outlineLevel="0" collapsed="false">
      <c r="H475" s="9"/>
    </row>
    <row r="476" customFormat="false" ht="18.7" hidden="false" customHeight="true" outlineLevel="0" collapsed="false">
      <c r="H476" s="9"/>
    </row>
    <row r="477" customFormat="false" ht="18.7" hidden="false" customHeight="true" outlineLevel="0" collapsed="false">
      <c r="H477" s="9"/>
    </row>
    <row r="478" customFormat="false" ht="18.7" hidden="false" customHeight="true" outlineLevel="0" collapsed="false">
      <c r="H478" s="9"/>
    </row>
    <row r="479" customFormat="false" ht="18.7" hidden="false" customHeight="true" outlineLevel="0" collapsed="false">
      <c r="H479" s="9"/>
    </row>
    <row r="480" customFormat="false" ht="18.7" hidden="false" customHeight="true" outlineLevel="0" collapsed="false">
      <c r="H480" s="9"/>
    </row>
    <row r="481" customFormat="false" ht="18.7" hidden="false" customHeight="true" outlineLevel="0" collapsed="false">
      <c r="H481" s="9"/>
    </row>
    <row r="482" customFormat="false" ht="18.7" hidden="false" customHeight="true" outlineLevel="0" collapsed="false">
      <c r="H482" s="9"/>
    </row>
    <row r="483" customFormat="false" ht="18.7" hidden="false" customHeight="true" outlineLevel="0" collapsed="false">
      <c r="H483" s="9"/>
    </row>
    <row r="484" customFormat="false" ht="18.7" hidden="false" customHeight="true" outlineLevel="0" collapsed="false">
      <c r="H484" s="9"/>
    </row>
    <row r="485" customFormat="false" ht="18.7" hidden="false" customHeight="true" outlineLevel="0" collapsed="false">
      <c r="H485" s="9"/>
    </row>
    <row r="486" customFormat="false" ht="18.7" hidden="false" customHeight="true" outlineLevel="0" collapsed="false">
      <c r="H486" s="9"/>
    </row>
    <row r="487" customFormat="false" ht="18.7" hidden="false" customHeight="true" outlineLevel="0" collapsed="false">
      <c r="H487" s="9"/>
    </row>
    <row r="488" customFormat="false" ht="18.7" hidden="false" customHeight="true" outlineLevel="0" collapsed="false">
      <c r="H488" s="9"/>
    </row>
    <row r="489" customFormat="false" ht="18.7" hidden="false" customHeight="true" outlineLevel="0" collapsed="false">
      <c r="H489" s="9"/>
    </row>
    <row r="490" customFormat="false" ht="18.7" hidden="false" customHeight="true" outlineLevel="0" collapsed="false">
      <c r="H490" s="9"/>
    </row>
    <row r="491" customFormat="false" ht="18.7" hidden="false" customHeight="true" outlineLevel="0" collapsed="false">
      <c r="H491" s="9"/>
    </row>
    <row r="492" customFormat="false" ht="18.7" hidden="false" customHeight="true" outlineLevel="0" collapsed="false">
      <c r="H492" s="9"/>
    </row>
    <row r="493" customFormat="false" ht="18.7" hidden="false" customHeight="true" outlineLevel="0" collapsed="false">
      <c r="H493" s="9"/>
    </row>
    <row r="494" customFormat="false" ht="18.7" hidden="false" customHeight="true" outlineLevel="0" collapsed="false">
      <c r="H494" s="9"/>
    </row>
    <row r="495" customFormat="false" ht="18.7" hidden="false" customHeight="true" outlineLevel="0" collapsed="false">
      <c r="H495" s="9"/>
    </row>
    <row r="496" customFormat="false" ht="18.7" hidden="false" customHeight="true" outlineLevel="0" collapsed="false">
      <c r="H496" s="9"/>
    </row>
    <row r="497" customFormat="false" ht="18.7" hidden="false" customHeight="true" outlineLevel="0" collapsed="false">
      <c r="H497" s="9"/>
    </row>
    <row r="498" customFormat="false" ht="18.7" hidden="false" customHeight="true" outlineLevel="0" collapsed="false">
      <c r="H498" s="9"/>
    </row>
    <row r="499" customFormat="false" ht="18.7" hidden="false" customHeight="true" outlineLevel="0" collapsed="false">
      <c r="H499" s="9"/>
    </row>
    <row r="500" customFormat="false" ht="18.7" hidden="false" customHeight="true" outlineLevel="0" collapsed="false">
      <c r="H500" s="9"/>
    </row>
    <row r="501" customFormat="false" ht="18.7" hidden="false" customHeight="true" outlineLevel="0" collapsed="false">
      <c r="H501" s="9"/>
    </row>
    <row r="502" customFormat="false" ht="18.7" hidden="false" customHeight="true" outlineLevel="0" collapsed="false">
      <c r="H502" s="9"/>
    </row>
    <row r="503" customFormat="false" ht="18.7" hidden="false" customHeight="true" outlineLevel="0" collapsed="false">
      <c r="H503" s="9"/>
    </row>
    <row r="504" customFormat="false" ht="18.7" hidden="false" customHeight="true" outlineLevel="0" collapsed="false">
      <c r="H504" s="9"/>
    </row>
    <row r="505" customFormat="false" ht="18.7" hidden="false" customHeight="true" outlineLevel="0" collapsed="false">
      <c r="H505" s="9"/>
    </row>
    <row r="506" customFormat="false" ht="18.7" hidden="false" customHeight="true" outlineLevel="0" collapsed="false">
      <c r="H506" s="9"/>
    </row>
    <row r="507" customFormat="false" ht="18.7" hidden="false" customHeight="true" outlineLevel="0" collapsed="false">
      <c r="H507" s="9"/>
    </row>
    <row r="508" customFormat="false" ht="18.7" hidden="false" customHeight="true" outlineLevel="0" collapsed="false">
      <c r="H508" s="9"/>
    </row>
    <row r="509" customFormat="false" ht="18.7" hidden="false" customHeight="true" outlineLevel="0" collapsed="false">
      <c r="H509" s="9"/>
    </row>
    <row r="510" customFormat="false" ht="18.7" hidden="false" customHeight="true" outlineLevel="0" collapsed="false">
      <c r="H510" s="9"/>
    </row>
    <row r="511" customFormat="false" ht="18.7" hidden="false" customHeight="true" outlineLevel="0" collapsed="false">
      <c r="H511" s="9"/>
    </row>
    <row r="512" customFormat="false" ht="18.7" hidden="false" customHeight="true" outlineLevel="0" collapsed="false">
      <c r="H512" s="9"/>
    </row>
    <row r="513" customFormat="false" ht="18.7" hidden="false" customHeight="true" outlineLevel="0" collapsed="false">
      <c r="H513" s="9"/>
    </row>
    <row r="514" customFormat="false" ht="18.7" hidden="false" customHeight="true" outlineLevel="0" collapsed="false">
      <c r="H514" s="9"/>
    </row>
    <row r="515" customFormat="false" ht="18.7" hidden="false" customHeight="true" outlineLevel="0" collapsed="false">
      <c r="H515" s="9"/>
    </row>
    <row r="516" customFormat="false" ht="18.7" hidden="false" customHeight="true" outlineLevel="0" collapsed="false">
      <c r="H516" s="9"/>
    </row>
    <row r="517" customFormat="false" ht="18.7" hidden="false" customHeight="true" outlineLevel="0" collapsed="false">
      <c r="H517" s="9"/>
    </row>
    <row r="518" customFormat="false" ht="18.7" hidden="false" customHeight="true" outlineLevel="0" collapsed="false">
      <c r="H518" s="9"/>
    </row>
    <row r="519" customFormat="false" ht="18.7" hidden="false" customHeight="true" outlineLevel="0" collapsed="false">
      <c r="H519" s="9"/>
    </row>
    <row r="520" customFormat="false" ht="18.7" hidden="false" customHeight="true" outlineLevel="0" collapsed="false">
      <c r="H520" s="9"/>
    </row>
    <row r="521" customFormat="false" ht="18.7" hidden="false" customHeight="true" outlineLevel="0" collapsed="false">
      <c r="H521" s="9"/>
    </row>
    <row r="522" customFormat="false" ht="18.7" hidden="false" customHeight="true" outlineLevel="0" collapsed="false">
      <c r="H522" s="9"/>
    </row>
    <row r="523" customFormat="false" ht="18.7" hidden="false" customHeight="true" outlineLevel="0" collapsed="false">
      <c r="H523" s="9"/>
    </row>
    <row r="524" customFormat="false" ht="18.7" hidden="false" customHeight="true" outlineLevel="0" collapsed="false">
      <c r="H524" s="9"/>
    </row>
    <row r="525" customFormat="false" ht="18.7" hidden="false" customHeight="true" outlineLevel="0" collapsed="false">
      <c r="H525" s="9"/>
    </row>
    <row r="526" customFormat="false" ht="18.7" hidden="false" customHeight="true" outlineLevel="0" collapsed="false">
      <c r="H526" s="9"/>
    </row>
    <row r="527" customFormat="false" ht="18.7" hidden="false" customHeight="true" outlineLevel="0" collapsed="false">
      <c r="H527" s="9"/>
    </row>
    <row r="528" customFormat="false" ht="18.7" hidden="false" customHeight="true" outlineLevel="0" collapsed="false">
      <c r="H528" s="9"/>
    </row>
    <row r="529" customFormat="false" ht="18.7" hidden="false" customHeight="true" outlineLevel="0" collapsed="false">
      <c r="H529" s="9"/>
    </row>
    <row r="530" customFormat="false" ht="18.7" hidden="false" customHeight="true" outlineLevel="0" collapsed="false">
      <c r="H530" s="9"/>
    </row>
    <row r="531" customFormat="false" ht="18.7" hidden="false" customHeight="true" outlineLevel="0" collapsed="false">
      <c r="H531" s="9"/>
    </row>
    <row r="532" customFormat="false" ht="18.7" hidden="false" customHeight="true" outlineLevel="0" collapsed="false">
      <c r="H532" s="9"/>
    </row>
    <row r="533" customFormat="false" ht="18.7" hidden="false" customHeight="true" outlineLevel="0" collapsed="false">
      <c r="H533" s="9"/>
    </row>
    <row r="534" customFormat="false" ht="18.7" hidden="false" customHeight="true" outlineLevel="0" collapsed="false">
      <c r="H534" s="9"/>
    </row>
    <row r="535" customFormat="false" ht="18.7" hidden="false" customHeight="true" outlineLevel="0" collapsed="false">
      <c r="H535" s="9"/>
    </row>
    <row r="536" customFormat="false" ht="18.7" hidden="false" customHeight="true" outlineLevel="0" collapsed="false">
      <c r="H536" s="9"/>
    </row>
    <row r="537" customFormat="false" ht="18.7" hidden="false" customHeight="true" outlineLevel="0" collapsed="false">
      <c r="H537" s="9"/>
    </row>
    <row r="538" customFormat="false" ht="18.7" hidden="false" customHeight="true" outlineLevel="0" collapsed="false">
      <c r="H538" s="9"/>
    </row>
    <row r="539" customFormat="false" ht="18.7" hidden="false" customHeight="true" outlineLevel="0" collapsed="false">
      <c r="H539" s="9"/>
    </row>
    <row r="540" customFormat="false" ht="18.7" hidden="false" customHeight="true" outlineLevel="0" collapsed="false">
      <c r="H540" s="9"/>
    </row>
    <row r="541" customFormat="false" ht="18.7" hidden="false" customHeight="true" outlineLevel="0" collapsed="false">
      <c r="H541" s="9"/>
    </row>
    <row r="542" customFormat="false" ht="18.7" hidden="false" customHeight="true" outlineLevel="0" collapsed="false">
      <c r="H542" s="9"/>
    </row>
    <row r="543" customFormat="false" ht="18.7" hidden="false" customHeight="true" outlineLevel="0" collapsed="false">
      <c r="H543" s="9"/>
    </row>
    <row r="544" customFormat="false" ht="18.7" hidden="false" customHeight="true" outlineLevel="0" collapsed="false">
      <c r="H544" s="9"/>
    </row>
    <row r="545" customFormat="false" ht="18.7" hidden="false" customHeight="true" outlineLevel="0" collapsed="false">
      <c r="H545" s="9"/>
    </row>
    <row r="546" customFormat="false" ht="18.7" hidden="false" customHeight="true" outlineLevel="0" collapsed="false">
      <c r="H546" s="9"/>
    </row>
    <row r="547" customFormat="false" ht="18.7" hidden="false" customHeight="true" outlineLevel="0" collapsed="false">
      <c r="H547" s="9"/>
    </row>
    <row r="548" customFormat="false" ht="18.7" hidden="false" customHeight="true" outlineLevel="0" collapsed="false">
      <c r="H548" s="9"/>
    </row>
    <row r="549" customFormat="false" ht="18.7" hidden="false" customHeight="true" outlineLevel="0" collapsed="false">
      <c r="H549" s="9"/>
    </row>
    <row r="550" customFormat="false" ht="18.7" hidden="false" customHeight="true" outlineLevel="0" collapsed="false">
      <c r="H550" s="9"/>
    </row>
    <row r="551" customFormat="false" ht="18.7" hidden="false" customHeight="true" outlineLevel="0" collapsed="false">
      <c r="H551" s="9"/>
    </row>
    <row r="552" customFormat="false" ht="18.7" hidden="false" customHeight="true" outlineLevel="0" collapsed="false">
      <c r="H552" s="9"/>
    </row>
    <row r="553" customFormat="false" ht="18.7" hidden="false" customHeight="true" outlineLevel="0" collapsed="false">
      <c r="H553" s="9"/>
    </row>
    <row r="554" customFormat="false" ht="18.7" hidden="false" customHeight="true" outlineLevel="0" collapsed="false">
      <c r="H554" s="9"/>
    </row>
    <row r="555" customFormat="false" ht="18.7" hidden="false" customHeight="true" outlineLevel="0" collapsed="false">
      <c r="H555" s="9"/>
    </row>
    <row r="556" customFormat="false" ht="18.7" hidden="false" customHeight="true" outlineLevel="0" collapsed="false">
      <c r="H556" s="9"/>
    </row>
    <row r="557" customFormat="false" ht="18.7" hidden="false" customHeight="true" outlineLevel="0" collapsed="false">
      <c r="H557" s="9"/>
    </row>
    <row r="558" customFormat="false" ht="18.7" hidden="false" customHeight="true" outlineLevel="0" collapsed="false">
      <c r="H558" s="9"/>
    </row>
    <row r="559" customFormat="false" ht="18.7" hidden="false" customHeight="true" outlineLevel="0" collapsed="false">
      <c r="H559" s="9"/>
    </row>
    <row r="560" customFormat="false" ht="18.7" hidden="false" customHeight="true" outlineLevel="0" collapsed="false">
      <c r="H560" s="9"/>
    </row>
    <row r="561" customFormat="false" ht="18.7" hidden="false" customHeight="true" outlineLevel="0" collapsed="false">
      <c r="H561" s="9"/>
    </row>
    <row r="562" customFormat="false" ht="18.7" hidden="false" customHeight="true" outlineLevel="0" collapsed="false">
      <c r="H562" s="9"/>
    </row>
    <row r="563" customFormat="false" ht="18.7" hidden="false" customHeight="true" outlineLevel="0" collapsed="false">
      <c r="H563" s="9"/>
    </row>
    <row r="564" customFormat="false" ht="18.7" hidden="false" customHeight="true" outlineLevel="0" collapsed="false">
      <c r="H564" s="9"/>
    </row>
    <row r="565" customFormat="false" ht="18.7" hidden="false" customHeight="true" outlineLevel="0" collapsed="false">
      <c r="H565" s="9"/>
    </row>
    <row r="566" customFormat="false" ht="18.7" hidden="false" customHeight="true" outlineLevel="0" collapsed="false">
      <c r="H566" s="9"/>
    </row>
    <row r="567" customFormat="false" ht="18.7" hidden="false" customHeight="true" outlineLevel="0" collapsed="false">
      <c r="H567" s="9"/>
    </row>
    <row r="568" customFormat="false" ht="18.7" hidden="false" customHeight="true" outlineLevel="0" collapsed="false">
      <c r="H568" s="9"/>
    </row>
    <row r="569" customFormat="false" ht="18.7" hidden="false" customHeight="true" outlineLevel="0" collapsed="false">
      <c r="H569" s="9"/>
    </row>
    <row r="570" customFormat="false" ht="18.7" hidden="false" customHeight="true" outlineLevel="0" collapsed="false">
      <c r="H570" s="9"/>
    </row>
    <row r="571" customFormat="false" ht="18.7" hidden="false" customHeight="true" outlineLevel="0" collapsed="false">
      <c r="H571" s="9"/>
    </row>
    <row r="572" customFormat="false" ht="18.7" hidden="false" customHeight="true" outlineLevel="0" collapsed="false">
      <c r="H572" s="9"/>
    </row>
    <row r="573" customFormat="false" ht="18.7" hidden="false" customHeight="true" outlineLevel="0" collapsed="false">
      <c r="H573" s="9"/>
    </row>
    <row r="574" customFormat="false" ht="18.7" hidden="false" customHeight="true" outlineLevel="0" collapsed="false">
      <c r="H574" s="9"/>
    </row>
    <row r="575" customFormat="false" ht="18.7" hidden="false" customHeight="true" outlineLevel="0" collapsed="false">
      <c r="H575" s="9"/>
    </row>
    <row r="576" customFormat="false" ht="18.7" hidden="false" customHeight="true" outlineLevel="0" collapsed="false">
      <c r="H576" s="9"/>
    </row>
    <row r="577" customFormat="false" ht="18.7" hidden="false" customHeight="true" outlineLevel="0" collapsed="false">
      <c r="H577" s="9"/>
    </row>
    <row r="578" customFormat="false" ht="18.7" hidden="false" customHeight="true" outlineLevel="0" collapsed="false">
      <c r="H578" s="9"/>
    </row>
    <row r="579" customFormat="false" ht="18.7" hidden="false" customHeight="true" outlineLevel="0" collapsed="false">
      <c r="H579" s="9"/>
    </row>
    <row r="580" customFormat="false" ht="18.7" hidden="false" customHeight="true" outlineLevel="0" collapsed="false">
      <c r="H580" s="9"/>
    </row>
    <row r="581" customFormat="false" ht="18.7" hidden="false" customHeight="true" outlineLevel="0" collapsed="false">
      <c r="H581" s="9"/>
    </row>
    <row r="582" customFormat="false" ht="18.7" hidden="false" customHeight="true" outlineLevel="0" collapsed="false">
      <c r="H582" s="9"/>
    </row>
    <row r="583" customFormat="false" ht="18.7" hidden="false" customHeight="true" outlineLevel="0" collapsed="false">
      <c r="H583" s="9"/>
    </row>
    <row r="584" customFormat="false" ht="18.7" hidden="false" customHeight="true" outlineLevel="0" collapsed="false">
      <c r="H584" s="9"/>
    </row>
    <row r="585" customFormat="false" ht="18.7" hidden="false" customHeight="true" outlineLevel="0" collapsed="false">
      <c r="H585" s="9"/>
    </row>
    <row r="586" customFormat="false" ht="18.7" hidden="false" customHeight="true" outlineLevel="0" collapsed="false">
      <c r="H586" s="9"/>
    </row>
    <row r="587" customFormat="false" ht="18.7" hidden="false" customHeight="true" outlineLevel="0" collapsed="false">
      <c r="H587" s="9"/>
    </row>
    <row r="588" customFormat="false" ht="18.7" hidden="false" customHeight="true" outlineLevel="0" collapsed="false">
      <c r="H588" s="9"/>
    </row>
    <row r="589" customFormat="false" ht="18.7" hidden="false" customHeight="true" outlineLevel="0" collapsed="false">
      <c r="H589" s="9"/>
    </row>
    <row r="590" customFormat="false" ht="18.7" hidden="false" customHeight="true" outlineLevel="0" collapsed="false">
      <c r="H590" s="9"/>
    </row>
    <row r="591" customFormat="false" ht="18.7" hidden="false" customHeight="true" outlineLevel="0" collapsed="false">
      <c r="H591" s="9"/>
    </row>
    <row r="592" customFormat="false" ht="18.7" hidden="false" customHeight="true" outlineLevel="0" collapsed="false">
      <c r="H592" s="9"/>
    </row>
    <row r="593" customFormat="false" ht="18.7" hidden="false" customHeight="true" outlineLevel="0" collapsed="false">
      <c r="H593" s="9"/>
    </row>
    <row r="594" customFormat="false" ht="18.7" hidden="false" customHeight="true" outlineLevel="0" collapsed="false">
      <c r="H594" s="9"/>
    </row>
    <row r="595" customFormat="false" ht="18.7" hidden="false" customHeight="true" outlineLevel="0" collapsed="false">
      <c r="H595" s="9"/>
    </row>
    <row r="596" customFormat="false" ht="18.7" hidden="false" customHeight="true" outlineLevel="0" collapsed="false">
      <c r="H596" s="9"/>
    </row>
    <row r="597" customFormat="false" ht="18.7" hidden="false" customHeight="true" outlineLevel="0" collapsed="false">
      <c r="H597" s="9"/>
    </row>
    <row r="598" customFormat="false" ht="18.7" hidden="false" customHeight="true" outlineLevel="0" collapsed="false">
      <c r="H598" s="9"/>
    </row>
    <row r="599" customFormat="false" ht="18.7" hidden="false" customHeight="true" outlineLevel="0" collapsed="false">
      <c r="H599" s="9"/>
    </row>
    <row r="600" customFormat="false" ht="18.7" hidden="false" customHeight="true" outlineLevel="0" collapsed="false">
      <c r="H600" s="9"/>
    </row>
    <row r="601" customFormat="false" ht="18.7" hidden="false" customHeight="true" outlineLevel="0" collapsed="false">
      <c r="H601" s="9"/>
    </row>
    <row r="602" customFormat="false" ht="18.7" hidden="false" customHeight="true" outlineLevel="0" collapsed="false">
      <c r="H602" s="9"/>
    </row>
    <row r="603" customFormat="false" ht="18.7" hidden="false" customHeight="true" outlineLevel="0" collapsed="false">
      <c r="H603" s="9"/>
    </row>
    <row r="604" customFormat="false" ht="18.7" hidden="false" customHeight="true" outlineLevel="0" collapsed="false">
      <c r="H604" s="9"/>
    </row>
    <row r="605" customFormat="false" ht="18.7" hidden="false" customHeight="true" outlineLevel="0" collapsed="false">
      <c r="H605" s="9"/>
    </row>
    <row r="606" customFormat="false" ht="18.7" hidden="false" customHeight="true" outlineLevel="0" collapsed="false">
      <c r="H606" s="9"/>
    </row>
    <row r="607" customFormat="false" ht="18.7" hidden="false" customHeight="true" outlineLevel="0" collapsed="false">
      <c r="H607" s="9"/>
    </row>
    <row r="608" customFormat="false" ht="18.7" hidden="false" customHeight="true" outlineLevel="0" collapsed="false">
      <c r="H608" s="9"/>
    </row>
    <row r="609" customFormat="false" ht="18.7" hidden="false" customHeight="true" outlineLevel="0" collapsed="false">
      <c r="H609" s="9"/>
    </row>
    <row r="610" customFormat="false" ht="18.7" hidden="false" customHeight="true" outlineLevel="0" collapsed="false">
      <c r="H610" s="9"/>
    </row>
    <row r="611" customFormat="false" ht="18.7" hidden="false" customHeight="true" outlineLevel="0" collapsed="false">
      <c r="H611" s="9"/>
    </row>
    <row r="612" customFormat="false" ht="18.7" hidden="false" customHeight="true" outlineLevel="0" collapsed="false">
      <c r="H612" s="9"/>
    </row>
    <row r="613" customFormat="false" ht="18.7" hidden="false" customHeight="true" outlineLevel="0" collapsed="false">
      <c r="H613" s="9"/>
    </row>
    <row r="614" customFormat="false" ht="18.7" hidden="false" customHeight="true" outlineLevel="0" collapsed="false">
      <c r="H614" s="9"/>
    </row>
    <row r="615" customFormat="false" ht="18.7" hidden="false" customHeight="true" outlineLevel="0" collapsed="false">
      <c r="H615" s="9"/>
    </row>
    <row r="616" customFormat="false" ht="18.7" hidden="false" customHeight="true" outlineLevel="0" collapsed="false">
      <c r="H616" s="9"/>
    </row>
    <row r="617" customFormat="false" ht="18.7" hidden="false" customHeight="true" outlineLevel="0" collapsed="false">
      <c r="H617" s="9"/>
    </row>
    <row r="618" customFormat="false" ht="18.7" hidden="false" customHeight="true" outlineLevel="0" collapsed="false">
      <c r="H618" s="9"/>
    </row>
    <row r="619" customFormat="false" ht="18.7" hidden="false" customHeight="true" outlineLevel="0" collapsed="false">
      <c r="H619" s="9"/>
    </row>
    <row r="620" customFormat="false" ht="18.7" hidden="false" customHeight="true" outlineLevel="0" collapsed="false">
      <c r="H620" s="9"/>
    </row>
    <row r="621" customFormat="false" ht="18.7" hidden="false" customHeight="true" outlineLevel="0" collapsed="false">
      <c r="H621" s="9"/>
    </row>
    <row r="622" customFormat="false" ht="18.7" hidden="false" customHeight="true" outlineLevel="0" collapsed="false">
      <c r="H622" s="9"/>
    </row>
    <row r="623" customFormat="false" ht="18.7" hidden="false" customHeight="true" outlineLevel="0" collapsed="false">
      <c r="H623" s="9"/>
    </row>
    <row r="624" customFormat="false" ht="18.7" hidden="false" customHeight="true" outlineLevel="0" collapsed="false">
      <c r="H624" s="9"/>
    </row>
    <row r="625" customFormat="false" ht="18.7" hidden="false" customHeight="true" outlineLevel="0" collapsed="false">
      <c r="H625" s="9"/>
    </row>
    <row r="626" customFormat="false" ht="18.7" hidden="false" customHeight="true" outlineLevel="0" collapsed="false">
      <c r="H626" s="9"/>
    </row>
    <row r="627" customFormat="false" ht="18.7" hidden="false" customHeight="true" outlineLevel="0" collapsed="false">
      <c r="H627" s="9"/>
    </row>
    <row r="628" customFormat="false" ht="18.7" hidden="false" customHeight="true" outlineLevel="0" collapsed="false">
      <c r="H628" s="9"/>
    </row>
    <row r="629" customFormat="false" ht="18.7" hidden="false" customHeight="true" outlineLevel="0" collapsed="false">
      <c r="H629" s="9"/>
    </row>
    <row r="630" customFormat="false" ht="18.7" hidden="false" customHeight="true" outlineLevel="0" collapsed="false">
      <c r="H630" s="9"/>
    </row>
    <row r="631" customFormat="false" ht="18.7" hidden="false" customHeight="true" outlineLevel="0" collapsed="false">
      <c r="H631" s="9"/>
    </row>
    <row r="632" customFormat="false" ht="18.7" hidden="false" customHeight="true" outlineLevel="0" collapsed="false">
      <c r="H632" s="9"/>
    </row>
    <row r="633" customFormat="false" ht="18.7" hidden="false" customHeight="true" outlineLevel="0" collapsed="false">
      <c r="H633" s="9"/>
    </row>
    <row r="634" customFormat="false" ht="18.7" hidden="false" customHeight="true" outlineLevel="0" collapsed="false">
      <c r="H634" s="9"/>
    </row>
    <row r="635" customFormat="false" ht="18.7" hidden="false" customHeight="true" outlineLevel="0" collapsed="false">
      <c r="H635" s="9"/>
    </row>
    <row r="636" customFormat="false" ht="18.7" hidden="false" customHeight="true" outlineLevel="0" collapsed="false">
      <c r="H636" s="9"/>
    </row>
    <row r="637" customFormat="false" ht="18.7" hidden="false" customHeight="true" outlineLevel="0" collapsed="false">
      <c r="H637" s="9"/>
    </row>
    <row r="638" customFormat="false" ht="18.7" hidden="false" customHeight="true" outlineLevel="0" collapsed="false">
      <c r="H638" s="9"/>
    </row>
    <row r="639" customFormat="false" ht="18.7" hidden="false" customHeight="true" outlineLevel="0" collapsed="false">
      <c r="H639" s="9"/>
    </row>
    <row r="640" customFormat="false" ht="18.7" hidden="false" customHeight="true" outlineLevel="0" collapsed="false">
      <c r="H640" s="9"/>
    </row>
    <row r="641" customFormat="false" ht="18.7" hidden="false" customHeight="true" outlineLevel="0" collapsed="false">
      <c r="H641" s="9"/>
    </row>
    <row r="642" customFormat="false" ht="18.7" hidden="false" customHeight="true" outlineLevel="0" collapsed="false">
      <c r="H642" s="9"/>
    </row>
    <row r="643" customFormat="false" ht="18.7" hidden="false" customHeight="true" outlineLevel="0" collapsed="false">
      <c r="H643" s="9"/>
    </row>
    <row r="644" customFormat="false" ht="18.7" hidden="false" customHeight="true" outlineLevel="0" collapsed="false">
      <c r="H644" s="9"/>
    </row>
    <row r="645" customFormat="false" ht="18.7" hidden="false" customHeight="true" outlineLevel="0" collapsed="false">
      <c r="H645" s="9"/>
    </row>
    <row r="646" customFormat="false" ht="18.7" hidden="false" customHeight="true" outlineLevel="0" collapsed="false">
      <c r="H646" s="9"/>
    </row>
    <row r="647" customFormat="false" ht="18.7" hidden="false" customHeight="true" outlineLevel="0" collapsed="false">
      <c r="H647" s="9"/>
    </row>
    <row r="648" customFormat="false" ht="18.7" hidden="false" customHeight="true" outlineLevel="0" collapsed="false">
      <c r="H648" s="9"/>
    </row>
    <row r="649" customFormat="false" ht="18.7" hidden="false" customHeight="true" outlineLevel="0" collapsed="false">
      <c r="H649" s="9"/>
    </row>
    <row r="650" customFormat="false" ht="18.7" hidden="false" customHeight="true" outlineLevel="0" collapsed="false">
      <c r="H650" s="9"/>
    </row>
    <row r="651" customFormat="false" ht="18.7" hidden="false" customHeight="true" outlineLevel="0" collapsed="false">
      <c r="H651" s="9"/>
    </row>
    <row r="652" customFormat="false" ht="18.7" hidden="false" customHeight="true" outlineLevel="0" collapsed="false">
      <c r="H652" s="9"/>
    </row>
    <row r="653" customFormat="false" ht="18.7" hidden="false" customHeight="true" outlineLevel="0" collapsed="false">
      <c r="H653" s="9"/>
    </row>
    <row r="654" customFormat="false" ht="18.7" hidden="false" customHeight="true" outlineLevel="0" collapsed="false">
      <c r="H654" s="9"/>
    </row>
    <row r="655" customFormat="false" ht="18.7" hidden="false" customHeight="true" outlineLevel="0" collapsed="false">
      <c r="H655" s="9"/>
    </row>
    <row r="656" customFormat="false" ht="18.7" hidden="false" customHeight="true" outlineLevel="0" collapsed="false">
      <c r="H656" s="9"/>
    </row>
    <row r="657" customFormat="false" ht="18.7" hidden="false" customHeight="true" outlineLevel="0" collapsed="false">
      <c r="H657" s="9"/>
    </row>
    <row r="658" customFormat="false" ht="18.7" hidden="false" customHeight="true" outlineLevel="0" collapsed="false">
      <c r="H658" s="9"/>
    </row>
    <row r="659" customFormat="false" ht="18.7" hidden="false" customHeight="true" outlineLevel="0" collapsed="false">
      <c r="H659" s="9"/>
    </row>
    <row r="660" customFormat="false" ht="18.7" hidden="false" customHeight="true" outlineLevel="0" collapsed="false">
      <c r="H660" s="9"/>
    </row>
    <row r="661" customFormat="false" ht="18.7" hidden="false" customHeight="true" outlineLevel="0" collapsed="false">
      <c r="H661" s="9"/>
    </row>
    <row r="662" customFormat="false" ht="18.7" hidden="false" customHeight="true" outlineLevel="0" collapsed="false">
      <c r="H662" s="9"/>
    </row>
    <row r="663" customFormat="false" ht="18.7" hidden="false" customHeight="true" outlineLevel="0" collapsed="false">
      <c r="H663" s="9"/>
    </row>
    <row r="664" customFormat="false" ht="18.7" hidden="false" customHeight="true" outlineLevel="0" collapsed="false">
      <c r="H664" s="9"/>
    </row>
    <row r="665" customFormat="false" ht="18.7" hidden="false" customHeight="true" outlineLevel="0" collapsed="false">
      <c r="H665" s="9"/>
    </row>
    <row r="666" customFormat="false" ht="18.7" hidden="false" customHeight="true" outlineLevel="0" collapsed="false">
      <c r="H666" s="9"/>
    </row>
    <row r="667" customFormat="false" ht="18.7" hidden="false" customHeight="true" outlineLevel="0" collapsed="false">
      <c r="H667" s="9"/>
    </row>
    <row r="668" customFormat="false" ht="18.7" hidden="false" customHeight="true" outlineLevel="0" collapsed="false">
      <c r="H668" s="9"/>
    </row>
    <row r="669" customFormat="false" ht="18.7" hidden="false" customHeight="true" outlineLevel="0" collapsed="false">
      <c r="H669" s="9"/>
    </row>
    <row r="670" customFormat="false" ht="18.7" hidden="false" customHeight="true" outlineLevel="0" collapsed="false">
      <c r="H670" s="9"/>
    </row>
    <row r="671" customFormat="false" ht="18.7" hidden="false" customHeight="true" outlineLevel="0" collapsed="false">
      <c r="H671" s="9"/>
    </row>
    <row r="672" customFormat="false" ht="18.7" hidden="false" customHeight="true" outlineLevel="0" collapsed="false">
      <c r="H672" s="9"/>
    </row>
    <row r="673" customFormat="false" ht="18.7" hidden="false" customHeight="true" outlineLevel="0" collapsed="false">
      <c r="H673" s="9"/>
    </row>
    <row r="674" customFormat="false" ht="18.7" hidden="false" customHeight="true" outlineLevel="0" collapsed="false">
      <c r="H674" s="9"/>
    </row>
    <row r="675" customFormat="false" ht="18.7" hidden="false" customHeight="true" outlineLevel="0" collapsed="false">
      <c r="H675" s="9"/>
    </row>
    <row r="676" customFormat="false" ht="18.7" hidden="false" customHeight="true" outlineLevel="0" collapsed="false">
      <c r="H676" s="9"/>
    </row>
    <row r="677" customFormat="false" ht="18.7" hidden="false" customHeight="true" outlineLevel="0" collapsed="false">
      <c r="H677" s="9"/>
    </row>
    <row r="678" customFormat="false" ht="18.7" hidden="false" customHeight="true" outlineLevel="0" collapsed="false">
      <c r="H678" s="9"/>
    </row>
    <row r="679" customFormat="false" ht="18.7" hidden="false" customHeight="true" outlineLevel="0" collapsed="false">
      <c r="H679" s="9"/>
    </row>
    <row r="680" customFormat="false" ht="18.7" hidden="false" customHeight="true" outlineLevel="0" collapsed="false">
      <c r="H680" s="9"/>
    </row>
    <row r="681" customFormat="false" ht="18.7" hidden="false" customHeight="true" outlineLevel="0" collapsed="false">
      <c r="H681" s="9"/>
    </row>
    <row r="682" customFormat="false" ht="18.7" hidden="false" customHeight="true" outlineLevel="0" collapsed="false">
      <c r="H682" s="9"/>
    </row>
    <row r="683" customFormat="false" ht="18.7" hidden="false" customHeight="true" outlineLevel="0" collapsed="false">
      <c r="H683" s="9"/>
    </row>
    <row r="684" customFormat="false" ht="18.7" hidden="false" customHeight="true" outlineLevel="0" collapsed="false">
      <c r="H684" s="9"/>
    </row>
    <row r="685" customFormat="false" ht="18.7" hidden="false" customHeight="true" outlineLevel="0" collapsed="false">
      <c r="H685" s="9"/>
    </row>
    <row r="686" customFormat="false" ht="18.7" hidden="false" customHeight="true" outlineLevel="0" collapsed="false">
      <c r="H686" s="9"/>
    </row>
    <row r="687" customFormat="false" ht="18.7" hidden="false" customHeight="true" outlineLevel="0" collapsed="false">
      <c r="H687" s="9"/>
    </row>
    <row r="688" customFormat="false" ht="18.7" hidden="false" customHeight="true" outlineLevel="0" collapsed="false">
      <c r="H688" s="9"/>
    </row>
    <row r="689" customFormat="false" ht="18.7" hidden="false" customHeight="true" outlineLevel="0" collapsed="false">
      <c r="H689" s="9"/>
    </row>
    <row r="690" customFormat="false" ht="18.7" hidden="false" customHeight="true" outlineLevel="0" collapsed="false">
      <c r="H690" s="9"/>
    </row>
    <row r="691" customFormat="false" ht="18.7" hidden="false" customHeight="true" outlineLevel="0" collapsed="false">
      <c r="H691" s="9"/>
    </row>
    <row r="692" customFormat="false" ht="18.7" hidden="false" customHeight="true" outlineLevel="0" collapsed="false">
      <c r="H692" s="9"/>
    </row>
    <row r="693" customFormat="false" ht="18.7" hidden="false" customHeight="true" outlineLevel="0" collapsed="false">
      <c r="H693" s="9"/>
    </row>
    <row r="694" customFormat="false" ht="18.7" hidden="false" customHeight="true" outlineLevel="0" collapsed="false">
      <c r="H694" s="9"/>
    </row>
    <row r="695" customFormat="false" ht="18.7" hidden="false" customHeight="true" outlineLevel="0" collapsed="false">
      <c r="H695" s="9"/>
    </row>
    <row r="696" customFormat="false" ht="18.7" hidden="false" customHeight="true" outlineLevel="0" collapsed="false">
      <c r="H696" s="9"/>
    </row>
    <row r="697" customFormat="false" ht="18.7" hidden="false" customHeight="true" outlineLevel="0" collapsed="false">
      <c r="H697" s="9"/>
    </row>
    <row r="698" customFormat="false" ht="18.7" hidden="false" customHeight="true" outlineLevel="0" collapsed="false">
      <c r="H698" s="9"/>
    </row>
    <row r="699" customFormat="false" ht="18.7" hidden="false" customHeight="true" outlineLevel="0" collapsed="false">
      <c r="H699" s="9"/>
    </row>
    <row r="700" customFormat="false" ht="18.7" hidden="false" customHeight="true" outlineLevel="0" collapsed="false">
      <c r="H700" s="9"/>
    </row>
    <row r="701" customFormat="false" ht="18.7" hidden="false" customHeight="true" outlineLevel="0" collapsed="false">
      <c r="H701" s="9"/>
    </row>
    <row r="702" customFormat="false" ht="18.7" hidden="false" customHeight="true" outlineLevel="0" collapsed="false">
      <c r="H702" s="9"/>
    </row>
    <row r="703" customFormat="false" ht="18.7" hidden="false" customHeight="true" outlineLevel="0" collapsed="false">
      <c r="H703" s="9"/>
    </row>
    <row r="704" customFormat="false" ht="18.7" hidden="false" customHeight="true" outlineLevel="0" collapsed="false">
      <c r="H704" s="9"/>
    </row>
    <row r="705" customFormat="false" ht="18.7" hidden="false" customHeight="true" outlineLevel="0" collapsed="false">
      <c r="H705" s="9"/>
    </row>
    <row r="706" customFormat="false" ht="18.7" hidden="false" customHeight="true" outlineLevel="0" collapsed="false">
      <c r="H706" s="9"/>
    </row>
    <row r="707" customFormat="false" ht="18.7" hidden="false" customHeight="true" outlineLevel="0" collapsed="false">
      <c r="H707" s="9"/>
    </row>
    <row r="708" customFormat="false" ht="18.7" hidden="false" customHeight="true" outlineLevel="0" collapsed="false">
      <c r="H708" s="9"/>
    </row>
    <row r="709" customFormat="false" ht="18.7" hidden="false" customHeight="true" outlineLevel="0" collapsed="false">
      <c r="H709" s="9"/>
    </row>
    <row r="710" customFormat="false" ht="18.7" hidden="false" customHeight="true" outlineLevel="0" collapsed="false">
      <c r="H710" s="9"/>
    </row>
    <row r="711" customFormat="false" ht="18.7" hidden="false" customHeight="true" outlineLevel="0" collapsed="false">
      <c r="H711" s="9"/>
    </row>
    <row r="712" customFormat="false" ht="18.7" hidden="false" customHeight="true" outlineLevel="0" collapsed="false">
      <c r="H712" s="9"/>
    </row>
    <row r="713" customFormat="false" ht="18.7" hidden="false" customHeight="true" outlineLevel="0" collapsed="false">
      <c r="H713" s="9"/>
    </row>
    <row r="714" customFormat="false" ht="18.7" hidden="false" customHeight="true" outlineLevel="0" collapsed="false">
      <c r="H714" s="9"/>
    </row>
    <row r="715" customFormat="false" ht="18.7" hidden="false" customHeight="true" outlineLevel="0" collapsed="false">
      <c r="H715" s="9"/>
    </row>
    <row r="716" customFormat="false" ht="18.7" hidden="false" customHeight="true" outlineLevel="0" collapsed="false">
      <c r="H716" s="9"/>
    </row>
    <row r="717" customFormat="false" ht="18.7" hidden="false" customHeight="true" outlineLevel="0" collapsed="false">
      <c r="H717" s="9"/>
    </row>
    <row r="718" customFormat="false" ht="18.7" hidden="false" customHeight="true" outlineLevel="0" collapsed="false">
      <c r="H718" s="9"/>
    </row>
    <row r="719" customFormat="false" ht="18.7" hidden="false" customHeight="true" outlineLevel="0" collapsed="false">
      <c r="H719" s="9"/>
    </row>
    <row r="720" customFormat="false" ht="18.7" hidden="false" customHeight="true" outlineLevel="0" collapsed="false">
      <c r="H720" s="9"/>
    </row>
    <row r="721" customFormat="false" ht="18.7" hidden="false" customHeight="true" outlineLevel="0" collapsed="false">
      <c r="H721" s="9"/>
    </row>
    <row r="722" customFormat="false" ht="18.7" hidden="false" customHeight="true" outlineLevel="0" collapsed="false">
      <c r="H722" s="9"/>
    </row>
    <row r="723" customFormat="false" ht="18.7" hidden="false" customHeight="true" outlineLevel="0" collapsed="false">
      <c r="H723" s="9"/>
    </row>
    <row r="724" customFormat="false" ht="18.7" hidden="false" customHeight="true" outlineLevel="0" collapsed="false">
      <c r="H724" s="9"/>
    </row>
    <row r="725" customFormat="false" ht="18.7" hidden="false" customHeight="true" outlineLevel="0" collapsed="false">
      <c r="H725" s="9"/>
    </row>
    <row r="726" customFormat="false" ht="18.7" hidden="false" customHeight="true" outlineLevel="0" collapsed="false">
      <c r="H726" s="9"/>
    </row>
    <row r="727" customFormat="false" ht="18.7" hidden="false" customHeight="true" outlineLevel="0" collapsed="false">
      <c r="H727" s="9"/>
    </row>
    <row r="728" customFormat="false" ht="18.7" hidden="false" customHeight="true" outlineLevel="0" collapsed="false">
      <c r="H728" s="9"/>
    </row>
    <row r="729" customFormat="false" ht="18.7" hidden="false" customHeight="true" outlineLevel="0" collapsed="false">
      <c r="H729" s="9"/>
    </row>
    <row r="730" customFormat="false" ht="18.7" hidden="false" customHeight="true" outlineLevel="0" collapsed="false">
      <c r="H730" s="9"/>
    </row>
    <row r="731" customFormat="false" ht="18.7" hidden="false" customHeight="true" outlineLevel="0" collapsed="false">
      <c r="H731" s="9"/>
    </row>
    <row r="732" customFormat="false" ht="18.7" hidden="false" customHeight="true" outlineLevel="0" collapsed="false">
      <c r="H732" s="9"/>
    </row>
    <row r="733" customFormat="false" ht="18.7" hidden="false" customHeight="true" outlineLevel="0" collapsed="false">
      <c r="H733" s="9"/>
    </row>
    <row r="734" customFormat="false" ht="18.7" hidden="false" customHeight="true" outlineLevel="0" collapsed="false">
      <c r="H734" s="9"/>
    </row>
    <row r="735" customFormat="false" ht="18.7" hidden="false" customHeight="true" outlineLevel="0" collapsed="false">
      <c r="H735" s="9"/>
    </row>
    <row r="736" customFormat="false" ht="18.7" hidden="false" customHeight="true" outlineLevel="0" collapsed="false">
      <c r="H736" s="9"/>
    </row>
    <row r="737" customFormat="false" ht="18.7" hidden="false" customHeight="true" outlineLevel="0" collapsed="false">
      <c r="H737" s="9"/>
    </row>
    <row r="738" customFormat="false" ht="18.7" hidden="false" customHeight="true" outlineLevel="0" collapsed="false">
      <c r="H738" s="9"/>
    </row>
    <row r="739" customFormat="false" ht="18.7" hidden="false" customHeight="true" outlineLevel="0" collapsed="false">
      <c r="H739" s="9"/>
    </row>
    <row r="740" customFormat="false" ht="18.7" hidden="false" customHeight="true" outlineLevel="0" collapsed="false">
      <c r="H740" s="9"/>
    </row>
    <row r="741" customFormat="false" ht="18.7" hidden="false" customHeight="true" outlineLevel="0" collapsed="false">
      <c r="H741" s="9"/>
    </row>
    <row r="742" customFormat="false" ht="18.7" hidden="false" customHeight="true" outlineLevel="0" collapsed="false">
      <c r="H742" s="9"/>
    </row>
    <row r="743" customFormat="false" ht="18.7" hidden="false" customHeight="true" outlineLevel="0" collapsed="false">
      <c r="H743" s="9"/>
    </row>
    <row r="744" customFormat="false" ht="18.7" hidden="false" customHeight="true" outlineLevel="0" collapsed="false">
      <c r="H744" s="9"/>
    </row>
    <row r="745" customFormat="false" ht="18.7" hidden="false" customHeight="true" outlineLevel="0" collapsed="false">
      <c r="H745" s="9"/>
    </row>
    <row r="746" customFormat="false" ht="18.7" hidden="false" customHeight="true" outlineLevel="0" collapsed="false">
      <c r="H746" s="9"/>
    </row>
    <row r="747" customFormat="false" ht="18.7" hidden="false" customHeight="true" outlineLevel="0" collapsed="false">
      <c r="H747" s="9"/>
    </row>
    <row r="748" customFormat="false" ht="18.7" hidden="false" customHeight="true" outlineLevel="0" collapsed="false">
      <c r="H748" s="9"/>
    </row>
    <row r="749" customFormat="false" ht="18.7" hidden="false" customHeight="true" outlineLevel="0" collapsed="false">
      <c r="H749" s="9"/>
    </row>
    <row r="750" customFormat="false" ht="18.7" hidden="false" customHeight="true" outlineLevel="0" collapsed="false">
      <c r="H750" s="9"/>
    </row>
    <row r="751" customFormat="false" ht="18.7" hidden="false" customHeight="true" outlineLevel="0" collapsed="false">
      <c r="H751" s="9"/>
    </row>
    <row r="752" customFormat="false" ht="18.7" hidden="false" customHeight="true" outlineLevel="0" collapsed="false">
      <c r="H752" s="9"/>
    </row>
    <row r="753" customFormat="false" ht="18.7" hidden="false" customHeight="true" outlineLevel="0" collapsed="false">
      <c r="H753" s="9"/>
    </row>
    <row r="754" customFormat="false" ht="18.7" hidden="false" customHeight="true" outlineLevel="0" collapsed="false">
      <c r="H754" s="9"/>
    </row>
    <row r="755" customFormat="false" ht="18.7" hidden="false" customHeight="true" outlineLevel="0" collapsed="false">
      <c r="H755" s="9"/>
    </row>
    <row r="756" customFormat="false" ht="18.7" hidden="false" customHeight="true" outlineLevel="0" collapsed="false">
      <c r="H756" s="9"/>
    </row>
    <row r="757" customFormat="false" ht="18.7" hidden="false" customHeight="true" outlineLevel="0" collapsed="false">
      <c r="H757" s="9"/>
    </row>
    <row r="758" customFormat="false" ht="18.7" hidden="false" customHeight="true" outlineLevel="0" collapsed="false">
      <c r="H758" s="9"/>
    </row>
    <row r="759" customFormat="false" ht="18.7" hidden="false" customHeight="true" outlineLevel="0" collapsed="false">
      <c r="H759" s="9"/>
    </row>
    <row r="760" customFormat="false" ht="18.7" hidden="false" customHeight="true" outlineLevel="0" collapsed="false">
      <c r="H760" s="9"/>
    </row>
    <row r="761" customFormat="false" ht="18.7" hidden="false" customHeight="true" outlineLevel="0" collapsed="false">
      <c r="H761" s="9"/>
    </row>
    <row r="762" customFormat="false" ht="18.7" hidden="false" customHeight="true" outlineLevel="0" collapsed="false">
      <c r="H762" s="9"/>
    </row>
    <row r="763" customFormat="false" ht="18.7" hidden="false" customHeight="true" outlineLevel="0" collapsed="false">
      <c r="H763" s="9"/>
    </row>
    <row r="764" customFormat="false" ht="18.7" hidden="false" customHeight="true" outlineLevel="0" collapsed="false">
      <c r="H764" s="9"/>
    </row>
    <row r="765" customFormat="false" ht="18.7" hidden="false" customHeight="true" outlineLevel="0" collapsed="false">
      <c r="H765" s="9"/>
    </row>
    <row r="766" customFormat="false" ht="18.7" hidden="false" customHeight="true" outlineLevel="0" collapsed="false">
      <c r="H766" s="9"/>
    </row>
    <row r="767" customFormat="false" ht="18.7" hidden="false" customHeight="true" outlineLevel="0" collapsed="false">
      <c r="H767" s="9"/>
    </row>
    <row r="768" customFormat="false" ht="18.7" hidden="false" customHeight="true" outlineLevel="0" collapsed="false">
      <c r="H768" s="9"/>
    </row>
    <row r="769" customFormat="false" ht="18.7" hidden="false" customHeight="true" outlineLevel="0" collapsed="false">
      <c r="H769" s="9"/>
    </row>
    <row r="770" customFormat="false" ht="18.7" hidden="false" customHeight="true" outlineLevel="0" collapsed="false">
      <c r="H770" s="9"/>
    </row>
    <row r="771" customFormat="false" ht="18.7" hidden="false" customHeight="true" outlineLevel="0" collapsed="false">
      <c r="H771" s="9"/>
    </row>
    <row r="772" customFormat="false" ht="18.7" hidden="false" customHeight="true" outlineLevel="0" collapsed="false">
      <c r="H772" s="9"/>
    </row>
    <row r="773" customFormat="false" ht="18.7" hidden="false" customHeight="true" outlineLevel="0" collapsed="false">
      <c r="H773" s="9"/>
    </row>
    <row r="774" customFormat="false" ht="18.7" hidden="false" customHeight="true" outlineLevel="0" collapsed="false">
      <c r="H774" s="9"/>
    </row>
    <row r="775" customFormat="false" ht="18.7" hidden="false" customHeight="true" outlineLevel="0" collapsed="false">
      <c r="H775" s="9"/>
    </row>
    <row r="776" customFormat="false" ht="18.7" hidden="false" customHeight="true" outlineLevel="0" collapsed="false">
      <c r="H776" s="9"/>
    </row>
    <row r="777" customFormat="false" ht="18.7" hidden="false" customHeight="true" outlineLevel="0" collapsed="false">
      <c r="H777" s="9"/>
    </row>
    <row r="778" customFormat="false" ht="18.7" hidden="false" customHeight="true" outlineLevel="0" collapsed="false">
      <c r="H778" s="9"/>
    </row>
    <row r="779" customFormat="false" ht="18.7" hidden="false" customHeight="true" outlineLevel="0" collapsed="false">
      <c r="H779" s="9"/>
    </row>
    <row r="780" customFormat="false" ht="18.7" hidden="false" customHeight="true" outlineLevel="0" collapsed="false">
      <c r="H780" s="9"/>
    </row>
    <row r="781" customFormat="false" ht="18.7" hidden="false" customHeight="true" outlineLevel="0" collapsed="false">
      <c r="H781" s="9"/>
    </row>
    <row r="782" customFormat="false" ht="18.7" hidden="false" customHeight="true" outlineLevel="0" collapsed="false">
      <c r="H782" s="9"/>
    </row>
    <row r="783" customFormat="false" ht="18.7" hidden="false" customHeight="true" outlineLevel="0" collapsed="false">
      <c r="H783" s="9"/>
    </row>
    <row r="784" customFormat="false" ht="18.7" hidden="false" customHeight="true" outlineLevel="0" collapsed="false">
      <c r="H784" s="9"/>
    </row>
    <row r="785" customFormat="false" ht="18.7" hidden="false" customHeight="true" outlineLevel="0" collapsed="false">
      <c r="H785" s="9"/>
    </row>
    <row r="786" customFormat="false" ht="18.7" hidden="false" customHeight="true" outlineLevel="0" collapsed="false">
      <c r="H786" s="9"/>
    </row>
    <row r="787" customFormat="false" ht="18.7" hidden="false" customHeight="true" outlineLevel="0" collapsed="false">
      <c r="H787" s="9"/>
    </row>
    <row r="788" customFormat="false" ht="18.7" hidden="false" customHeight="true" outlineLevel="0" collapsed="false">
      <c r="H788" s="9"/>
    </row>
    <row r="789" customFormat="false" ht="18.7" hidden="false" customHeight="true" outlineLevel="0" collapsed="false">
      <c r="H789" s="9"/>
    </row>
    <row r="790" customFormat="false" ht="18.7" hidden="false" customHeight="true" outlineLevel="0" collapsed="false">
      <c r="H790" s="9"/>
    </row>
    <row r="791" customFormat="false" ht="18.7" hidden="false" customHeight="true" outlineLevel="0" collapsed="false">
      <c r="H791" s="9"/>
    </row>
    <row r="792" customFormat="false" ht="18.7" hidden="false" customHeight="true" outlineLevel="0" collapsed="false">
      <c r="H792" s="9"/>
    </row>
    <row r="793" customFormat="false" ht="18.7" hidden="false" customHeight="true" outlineLevel="0" collapsed="false">
      <c r="H793" s="9"/>
    </row>
    <row r="794" customFormat="false" ht="18.7" hidden="false" customHeight="true" outlineLevel="0" collapsed="false">
      <c r="H794" s="9"/>
    </row>
    <row r="795" customFormat="false" ht="18.7" hidden="false" customHeight="true" outlineLevel="0" collapsed="false">
      <c r="H795" s="9"/>
    </row>
    <row r="796" customFormat="false" ht="18.7" hidden="false" customHeight="true" outlineLevel="0" collapsed="false">
      <c r="H796" s="9"/>
    </row>
    <row r="797" customFormat="false" ht="18.7" hidden="false" customHeight="true" outlineLevel="0" collapsed="false">
      <c r="H797" s="9"/>
    </row>
    <row r="798" customFormat="false" ht="18.7" hidden="false" customHeight="true" outlineLevel="0" collapsed="false">
      <c r="H798" s="9"/>
    </row>
    <row r="799" customFormat="false" ht="18.7" hidden="false" customHeight="true" outlineLevel="0" collapsed="false">
      <c r="H799" s="9"/>
    </row>
    <row r="800" customFormat="false" ht="18.7" hidden="false" customHeight="true" outlineLevel="0" collapsed="false">
      <c r="H800" s="9"/>
    </row>
    <row r="801" customFormat="false" ht="18.7" hidden="false" customHeight="true" outlineLevel="0" collapsed="false">
      <c r="H801" s="9"/>
    </row>
    <row r="802" customFormat="false" ht="18.7" hidden="false" customHeight="true" outlineLevel="0" collapsed="false">
      <c r="H802" s="9"/>
    </row>
    <row r="803" customFormat="false" ht="18.7" hidden="false" customHeight="true" outlineLevel="0" collapsed="false">
      <c r="H803" s="9"/>
    </row>
    <row r="804" customFormat="false" ht="18.7" hidden="false" customHeight="true" outlineLevel="0" collapsed="false">
      <c r="H804" s="9"/>
    </row>
    <row r="805" customFormat="false" ht="18.7" hidden="false" customHeight="true" outlineLevel="0" collapsed="false">
      <c r="H805" s="9"/>
    </row>
    <row r="806" customFormat="false" ht="18.7" hidden="false" customHeight="true" outlineLevel="0" collapsed="false">
      <c r="H806" s="9"/>
    </row>
    <row r="807" customFormat="false" ht="18.7" hidden="false" customHeight="true" outlineLevel="0" collapsed="false">
      <c r="H807" s="9"/>
    </row>
    <row r="808" customFormat="false" ht="18.7" hidden="false" customHeight="true" outlineLevel="0" collapsed="false">
      <c r="H808" s="9"/>
    </row>
    <row r="809" customFormat="false" ht="18.7" hidden="false" customHeight="true" outlineLevel="0" collapsed="false">
      <c r="H809" s="9"/>
    </row>
    <row r="810" customFormat="false" ht="18.7" hidden="false" customHeight="true" outlineLevel="0" collapsed="false">
      <c r="H810" s="9"/>
    </row>
    <row r="811" customFormat="false" ht="18.7" hidden="false" customHeight="true" outlineLevel="0" collapsed="false">
      <c r="H811" s="9"/>
    </row>
    <row r="812" customFormat="false" ht="18.7" hidden="false" customHeight="true" outlineLevel="0" collapsed="false">
      <c r="H812" s="9"/>
    </row>
    <row r="813" customFormat="false" ht="18.7" hidden="false" customHeight="true" outlineLevel="0" collapsed="false">
      <c r="H813" s="9"/>
    </row>
    <row r="814" customFormat="false" ht="18.7" hidden="false" customHeight="true" outlineLevel="0" collapsed="false">
      <c r="H814" s="9"/>
    </row>
    <row r="815" customFormat="false" ht="18.7" hidden="false" customHeight="true" outlineLevel="0" collapsed="false">
      <c r="H815" s="9"/>
    </row>
    <row r="816" customFormat="false" ht="18.7" hidden="false" customHeight="true" outlineLevel="0" collapsed="false">
      <c r="H816" s="9"/>
    </row>
    <row r="817" customFormat="false" ht="18.7" hidden="false" customHeight="true" outlineLevel="0" collapsed="false">
      <c r="H817" s="9"/>
    </row>
    <row r="818" customFormat="false" ht="18.7" hidden="false" customHeight="true" outlineLevel="0" collapsed="false">
      <c r="H818" s="9"/>
    </row>
    <row r="819" customFormat="false" ht="18.7" hidden="false" customHeight="true" outlineLevel="0" collapsed="false">
      <c r="H819" s="9"/>
    </row>
    <row r="820" customFormat="false" ht="18.7" hidden="false" customHeight="true" outlineLevel="0" collapsed="false">
      <c r="H820" s="9"/>
    </row>
    <row r="821" customFormat="false" ht="18.7" hidden="false" customHeight="true" outlineLevel="0" collapsed="false">
      <c r="H821" s="9"/>
    </row>
    <row r="822" customFormat="false" ht="18.7" hidden="false" customHeight="true" outlineLevel="0" collapsed="false">
      <c r="H822" s="9"/>
    </row>
    <row r="823" customFormat="false" ht="18.7" hidden="false" customHeight="true" outlineLevel="0" collapsed="false">
      <c r="H823" s="9"/>
    </row>
    <row r="824" customFormat="false" ht="18.7" hidden="false" customHeight="true" outlineLevel="0" collapsed="false">
      <c r="H824" s="9"/>
    </row>
    <row r="825" customFormat="false" ht="18.7" hidden="false" customHeight="true" outlineLevel="0" collapsed="false">
      <c r="H825" s="9"/>
    </row>
    <row r="826" customFormat="false" ht="18.7" hidden="false" customHeight="true" outlineLevel="0" collapsed="false">
      <c r="H826" s="9"/>
    </row>
    <row r="827" customFormat="false" ht="18.7" hidden="false" customHeight="true" outlineLevel="0" collapsed="false">
      <c r="H827" s="9"/>
    </row>
    <row r="828" customFormat="false" ht="18.7" hidden="false" customHeight="true" outlineLevel="0" collapsed="false">
      <c r="H828" s="9"/>
    </row>
    <row r="829" customFormat="false" ht="18.7" hidden="false" customHeight="true" outlineLevel="0" collapsed="false">
      <c r="H829" s="9"/>
    </row>
    <row r="830" customFormat="false" ht="18.7" hidden="false" customHeight="true" outlineLevel="0" collapsed="false">
      <c r="H830" s="9"/>
    </row>
    <row r="831" customFormat="false" ht="18.7" hidden="false" customHeight="true" outlineLevel="0" collapsed="false">
      <c r="H831" s="9"/>
    </row>
    <row r="832" customFormat="false" ht="18.7" hidden="false" customHeight="true" outlineLevel="0" collapsed="false">
      <c r="H832" s="9"/>
    </row>
    <row r="833" customFormat="false" ht="18.7" hidden="false" customHeight="true" outlineLevel="0" collapsed="false">
      <c r="H833" s="9"/>
    </row>
    <row r="834" customFormat="false" ht="18.7" hidden="false" customHeight="true" outlineLevel="0" collapsed="false">
      <c r="H834" s="9"/>
    </row>
    <row r="835" customFormat="false" ht="18.7" hidden="false" customHeight="true" outlineLevel="0" collapsed="false">
      <c r="H835" s="9"/>
    </row>
    <row r="836" customFormat="false" ht="18.7" hidden="false" customHeight="true" outlineLevel="0" collapsed="false">
      <c r="H836" s="9"/>
    </row>
    <row r="837" customFormat="false" ht="18.7" hidden="false" customHeight="true" outlineLevel="0" collapsed="false">
      <c r="H837" s="9"/>
    </row>
    <row r="838" customFormat="false" ht="18.7" hidden="false" customHeight="true" outlineLevel="0" collapsed="false">
      <c r="H838" s="9"/>
    </row>
    <row r="839" customFormat="false" ht="18.7" hidden="false" customHeight="true" outlineLevel="0" collapsed="false">
      <c r="H839" s="9"/>
    </row>
    <row r="840" customFormat="false" ht="18.7" hidden="false" customHeight="true" outlineLevel="0" collapsed="false">
      <c r="H840" s="9"/>
    </row>
    <row r="841" customFormat="false" ht="18.7" hidden="false" customHeight="true" outlineLevel="0" collapsed="false">
      <c r="H841" s="9"/>
    </row>
    <row r="842" customFormat="false" ht="18.7" hidden="false" customHeight="true" outlineLevel="0" collapsed="false">
      <c r="H842" s="9"/>
    </row>
    <row r="843" customFormat="false" ht="18.7" hidden="false" customHeight="true" outlineLevel="0" collapsed="false">
      <c r="H843" s="9"/>
    </row>
    <row r="844" customFormat="false" ht="18.7" hidden="false" customHeight="true" outlineLevel="0" collapsed="false">
      <c r="H844" s="9"/>
    </row>
    <row r="845" customFormat="false" ht="18.7" hidden="false" customHeight="true" outlineLevel="0" collapsed="false">
      <c r="H845" s="9"/>
    </row>
    <row r="846" customFormat="false" ht="18.7" hidden="false" customHeight="true" outlineLevel="0" collapsed="false">
      <c r="H846" s="9"/>
    </row>
    <row r="847" customFormat="false" ht="18.7" hidden="false" customHeight="true" outlineLevel="0" collapsed="false">
      <c r="H847" s="9"/>
    </row>
    <row r="848" customFormat="false" ht="18.7" hidden="false" customHeight="true" outlineLevel="0" collapsed="false">
      <c r="H848" s="9"/>
    </row>
    <row r="849" customFormat="false" ht="18.7" hidden="false" customHeight="true" outlineLevel="0" collapsed="false">
      <c r="H849" s="9"/>
    </row>
    <row r="850" customFormat="false" ht="18.7" hidden="false" customHeight="true" outlineLevel="0" collapsed="false">
      <c r="H850" s="9"/>
    </row>
    <row r="851" customFormat="false" ht="18.7" hidden="false" customHeight="true" outlineLevel="0" collapsed="false">
      <c r="H851" s="9"/>
    </row>
    <row r="852" customFormat="false" ht="18.7" hidden="false" customHeight="true" outlineLevel="0" collapsed="false">
      <c r="H852" s="9"/>
    </row>
    <row r="853" customFormat="false" ht="18.7" hidden="false" customHeight="true" outlineLevel="0" collapsed="false">
      <c r="H853" s="9"/>
    </row>
    <row r="854" customFormat="false" ht="18.7" hidden="false" customHeight="true" outlineLevel="0" collapsed="false">
      <c r="H854" s="9"/>
    </row>
    <row r="855" customFormat="false" ht="18.7" hidden="false" customHeight="true" outlineLevel="0" collapsed="false">
      <c r="H855" s="9"/>
    </row>
    <row r="856" customFormat="false" ht="18.7" hidden="false" customHeight="true" outlineLevel="0" collapsed="false">
      <c r="H856" s="9"/>
    </row>
    <row r="857" customFormat="false" ht="18.7" hidden="false" customHeight="true" outlineLevel="0" collapsed="false">
      <c r="H857" s="9"/>
    </row>
    <row r="858" customFormat="false" ht="18.7" hidden="false" customHeight="true" outlineLevel="0" collapsed="false">
      <c r="H858" s="9"/>
    </row>
    <row r="859" customFormat="false" ht="18.7" hidden="false" customHeight="true" outlineLevel="0" collapsed="false">
      <c r="H859" s="9"/>
    </row>
    <row r="860" customFormat="false" ht="18.7" hidden="false" customHeight="true" outlineLevel="0" collapsed="false">
      <c r="H860" s="9"/>
    </row>
    <row r="861" customFormat="false" ht="18.7" hidden="false" customHeight="true" outlineLevel="0" collapsed="false">
      <c r="H861" s="9"/>
    </row>
    <row r="862" customFormat="false" ht="18.7" hidden="false" customHeight="true" outlineLevel="0" collapsed="false">
      <c r="H862" s="9"/>
    </row>
    <row r="863" customFormat="false" ht="18.7" hidden="false" customHeight="true" outlineLevel="0" collapsed="false">
      <c r="H863" s="9"/>
    </row>
    <row r="864" customFormat="false" ht="18.7" hidden="false" customHeight="true" outlineLevel="0" collapsed="false">
      <c r="H864" s="9"/>
    </row>
    <row r="865" customFormat="false" ht="18.7" hidden="false" customHeight="true" outlineLevel="0" collapsed="false">
      <c r="H865" s="9"/>
    </row>
    <row r="866" customFormat="false" ht="18.7" hidden="false" customHeight="true" outlineLevel="0" collapsed="false">
      <c r="H866" s="9"/>
    </row>
    <row r="867" customFormat="false" ht="18.7" hidden="false" customHeight="true" outlineLevel="0" collapsed="false">
      <c r="H867" s="9"/>
    </row>
    <row r="868" customFormat="false" ht="18.7" hidden="false" customHeight="true" outlineLevel="0" collapsed="false">
      <c r="H868" s="9"/>
    </row>
    <row r="869" customFormat="false" ht="18.7" hidden="false" customHeight="true" outlineLevel="0" collapsed="false">
      <c r="H869" s="9"/>
    </row>
    <row r="870" customFormat="false" ht="18.7" hidden="false" customHeight="true" outlineLevel="0" collapsed="false">
      <c r="H870" s="9"/>
    </row>
    <row r="871" customFormat="false" ht="18.7" hidden="false" customHeight="true" outlineLevel="0" collapsed="false">
      <c r="H871" s="9"/>
    </row>
    <row r="872" customFormat="false" ht="18.7" hidden="false" customHeight="true" outlineLevel="0" collapsed="false">
      <c r="H872" s="9"/>
    </row>
    <row r="873" customFormat="false" ht="18.7" hidden="false" customHeight="true" outlineLevel="0" collapsed="false">
      <c r="H873" s="9"/>
    </row>
    <row r="874" customFormat="false" ht="18.7" hidden="false" customHeight="true" outlineLevel="0" collapsed="false">
      <c r="H874" s="9"/>
    </row>
    <row r="875" customFormat="false" ht="18.7" hidden="false" customHeight="true" outlineLevel="0" collapsed="false">
      <c r="H875" s="9"/>
    </row>
    <row r="876" customFormat="false" ht="18.7" hidden="false" customHeight="true" outlineLevel="0" collapsed="false">
      <c r="H876" s="9"/>
    </row>
    <row r="877" customFormat="false" ht="18.7" hidden="false" customHeight="true" outlineLevel="0" collapsed="false">
      <c r="H877" s="9"/>
    </row>
    <row r="878" customFormat="false" ht="18.7" hidden="false" customHeight="true" outlineLevel="0" collapsed="false">
      <c r="H878" s="9"/>
    </row>
    <row r="879" customFormat="false" ht="18.7" hidden="false" customHeight="true" outlineLevel="0" collapsed="false">
      <c r="H879" s="9"/>
    </row>
    <row r="880" customFormat="false" ht="18.7" hidden="false" customHeight="true" outlineLevel="0" collapsed="false">
      <c r="H880" s="9"/>
    </row>
    <row r="881" customFormat="false" ht="18.7" hidden="false" customHeight="true" outlineLevel="0" collapsed="false">
      <c r="H881" s="9"/>
    </row>
    <row r="882" customFormat="false" ht="18.7" hidden="false" customHeight="true" outlineLevel="0" collapsed="false">
      <c r="H882" s="9"/>
    </row>
    <row r="883" customFormat="false" ht="18.7" hidden="false" customHeight="true" outlineLevel="0" collapsed="false">
      <c r="H883" s="9"/>
    </row>
    <row r="884" customFormat="false" ht="18.7" hidden="false" customHeight="true" outlineLevel="0" collapsed="false">
      <c r="H884" s="9"/>
    </row>
    <row r="885" customFormat="false" ht="18.7" hidden="false" customHeight="true" outlineLevel="0" collapsed="false">
      <c r="H885" s="9"/>
    </row>
    <row r="886" customFormat="false" ht="18.7" hidden="false" customHeight="true" outlineLevel="0" collapsed="false">
      <c r="H886" s="9"/>
    </row>
    <row r="887" customFormat="false" ht="18.7" hidden="false" customHeight="true" outlineLevel="0" collapsed="false">
      <c r="H887" s="9"/>
    </row>
    <row r="888" customFormat="false" ht="18.7" hidden="false" customHeight="true" outlineLevel="0" collapsed="false">
      <c r="H888" s="9"/>
    </row>
    <row r="889" customFormat="false" ht="18.7" hidden="false" customHeight="true" outlineLevel="0" collapsed="false">
      <c r="H889" s="9"/>
    </row>
    <row r="890" customFormat="false" ht="18.7" hidden="false" customHeight="true" outlineLevel="0" collapsed="false">
      <c r="H890" s="9"/>
    </row>
    <row r="891" customFormat="false" ht="18.7" hidden="false" customHeight="true" outlineLevel="0" collapsed="false">
      <c r="H891" s="9"/>
    </row>
    <row r="892" customFormat="false" ht="18.7" hidden="false" customHeight="true" outlineLevel="0" collapsed="false">
      <c r="H892" s="9"/>
    </row>
    <row r="893" customFormat="false" ht="18.7" hidden="false" customHeight="true" outlineLevel="0" collapsed="false">
      <c r="H893" s="9"/>
    </row>
    <row r="894" customFormat="false" ht="18.7" hidden="false" customHeight="true" outlineLevel="0" collapsed="false">
      <c r="H894" s="9"/>
    </row>
    <row r="895" customFormat="false" ht="18.7" hidden="false" customHeight="true" outlineLevel="0" collapsed="false">
      <c r="H895" s="9"/>
    </row>
    <row r="896" customFormat="false" ht="18.7" hidden="false" customHeight="true" outlineLevel="0" collapsed="false">
      <c r="H896" s="9"/>
    </row>
    <row r="897" customFormat="false" ht="18.7" hidden="false" customHeight="true" outlineLevel="0" collapsed="false">
      <c r="H897" s="9"/>
    </row>
    <row r="898" customFormat="false" ht="18.7" hidden="false" customHeight="true" outlineLevel="0" collapsed="false">
      <c r="H898" s="9"/>
    </row>
    <row r="899" customFormat="false" ht="18.7" hidden="false" customHeight="true" outlineLevel="0" collapsed="false">
      <c r="H899" s="9"/>
    </row>
    <row r="900" customFormat="false" ht="18.7" hidden="false" customHeight="true" outlineLevel="0" collapsed="false">
      <c r="H900" s="9"/>
    </row>
    <row r="901" customFormat="false" ht="18.7" hidden="false" customHeight="true" outlineLevel="0" collapsed="false">
      <c r="H901" s="9"/>
    </row>
    <row r="902" customFormat="false" ht="18.7" hidden="false" customHeight="true" outlineLevel="0" collapsed="false">
      <c r="H902" s="9"/>
    </row>
    <row r="903" customFormat="false" ht="18.7" hidden="false" customHeight="true" outlineLevel="0" collapsed="false">
      <c r="H903" s="9"/>
    </row>
    <row r="904" customFormat="false" ht="18.7" hidden="false" customHeight="true" outlineLevel="0" collapsed="false">
      <c r="H904" s="9"/>
    </row>
    <row r="905" customFormat="false" ht="18.7" hidden="false" customHeight="true" outlineLevel="0" collapsed="false">
      <c r="H905" s="9"/>
    </row>
    <row r="906" customFormat="false" ht="18.7" hidden="false" customHeight="true" outlineLevel="0" collapsed="false">
      <c r="H906" s="9"/>
    </row>
    <row r="907" customFormat="false" ht="18.7" hidden="false" customHeight="true" outlineLevel="0" collapsed="false">
      <c r="H907" s="9"/>
    </row>
    <row r="908" customFormat="false" ht="18.7" hidden="false" customHeight="true" outlineLevel="0" collapsed="false">
      <c r="H908" s="9"/>
    </row>
    <row r="909" customFormat="false" ht="18.7" hidden="false" customHeight="true" outlineLevel="0" collapsed="false">
      <c r="H909" s="9"/>
    </row>
    <row r="910" customFormat="false" ht="18.7" hidden="false" customHeight="true" outlineLevel="0" collapsed="false">
      <c r="H910" s="9"/>
    </row>
    <row r="911" customFormat="false" ht="18.7" hidden="false" customHeight="true" outlineLevel="0" collapsed="false">
      <c r="H911" s="9"/>
    </row>
    <row r="912" customFormat="false" ht="18.7" hidden="false" customHeight="true" outlineLevel="0" collapsed="false">
      <c r="H912" s="9"/>
    </row>
    <row r="913" customFormat="false" ht="18.7" hidden="false" customHeight="true" outlineLevel="0" collapsed="false">
      <c r="H913" s="9"/>
    </row>
    <row r="914" customFormat="false" ht="18.7" hidden="false" customHeight="true" outlineLevel="0" collapsed="false">
      <c r="H914" s="9"/>
    </row>
    <row r="915" customFormat="false" ht="18.7" hidden="false" customHeight="true" outlineLevel="0" collapsed="false">
      <c r="H915" s="9"/>
    </row>
    <row r="916" customFormat="false" ht="18.7" hidden="false" customHeight="true" outlineLevel="0" collapsed="false">
      <c r="H916" s="9"/>
    </row>
    <row r="917" customFormat="false" ht="18.7" hidden="false" customHeight="true" outlineLevel="0" collapsed="false">
      <c r="H917" s="9"/>
    </row>
    <row r="918" customFormat="false" ht="18.7" hidden="false" customHeight="true" outlineLevel="0" collapsed="false">
      <c r="H918" s="9"/>
    </row>
    <row r="919" customFormat="false" ht="18.7" hidden="false" customHeight="true" outlineLevel="0" collapsed="false">
      <c r="H919" s="9"/>
    </row>
    <row r="920" customFormat="false" ht="18.7" hidden="false" customHeight="true" outlineLevel="0" collapsed="false">
      <c r="H920" s="9"/>
    </row>
    <row r="921" customFormat="false" ht="18.7" hidden="false" customHeight="true" outlineLevel="0" collapsed="false">
      <c r="H921" s="9"/>
    </row>
    <row r="922" customFormat="false" ht="18.7" hidden="false" customHeight="true" outlineLevel="0" collapsed="false">
      <c r="H922" s="9"/>
    </row>
    <row r="923" customFormat="false" ht="18.7" hidden="false" customHeight="true" outlineLevel="0" collapsed="false">
      <c r="H923" s="9"/>
    </row>
    <row r="924" customFormat="false" ht="18.7" hidden="false" customHeight="true" outlineLevel="0" collapsed="false">
      <c r="H924" s="9"/>
    </row>
    <row r="925" customFormat="false" ht="18.7" hidden="false" customHeight="true" outlineLevel="0" collapsed="false">
      <c r="H925" s="9"/>
    </row>
    <row r="926" customFormat="false" ht="18.7" hidden="false" customHeight="true" outlineLevel="0" collapsed="false">
      <c r="H926" s="9"/>
    </row>
    <row r="927" customFormat="false" ht="18.7" hidden="false" customHeight="true" outlineLevel="0" collapsed="false">
      <c r="H927" s="9"/>
    </row>
    <row r="928" customFormat="false" ht="18.7" hidden="false" customHeight="true" outlineLevel="0" collapsed="false">
      <c r="H928" s="9"/>
    </row>
    <row r="929" customFormat="false" ht="18.7" hidden="false" customHeight="true" outlineLevel="0" collapsed="false">
      <c r="H929" s="9"/>
    </row>
    <row r="930" customFormat="false" ht="18.7" hidden="false" customHeight="true" outlineLevel="0" collapsed="false">
      <c r="H930" s="9"/>
    </row>
    <row r="931" customFormat="false" ht="18.7" hidden="false" customHeight="true" outlineLevel="0" collapsed="false">
      <c r="H931" s="9"/>
    </row>
    <row r="932" customFormat="false" ht="18.7" hidden="false" customHeight="true" outlineLevel="0" collapsed="false">
      <c r="H932" s="9"/>
    </row>
    <row r="933" customFormat="false" ht="18.7" hidden="false" customHeight="true" outlineLevel="0" collapsed="false">
      <c r="H933" s="9"/>
    </row>
    <row r="934" customFormat="false" ht="18.7" hidden="false" customHeight="true" outlineLevel="0" collapsed="false">
      <c r="H934" s="9"/>
    </row>
    <row r="935" customFormat="false" ht="18.7" hidden="false" customHeight="true" outlineLevel="0" collapsed="false">
      <c r="H935" s="9"/>
    </row>
    <row r="936" customFormat="false" ht="18.7" hidden="false" customHeight="true" outlineLevel="0" collapsed="false">
      <c r="H936" s="9"/>
    </row>
    <row r="937" customFormat="false" ht="18.7" hidden="false" customHeight="true" outlineLevel="0" collapsed="false">
      <c r="H937" s="9"/>
    </row>
    <row r="938" customFormat="false" ht="18.7" hidden="false" customHeight="true" outlineLevel="0" collapsed="false">
      <c r="H938" s="9"/>
    </row>
    <row r="939" customFormat="false" ht="18.7" hidden="false" customHeight="true" outlineLevel="0" collapsed="false">
      <c r="H939" s="9"/>
    </row>
    <row r="940" customFormat="false" ht="18.7" hidden="false" customHeight="true" outlineLevel="0" collapsed="false">
      <c r="H940" s="9"/>
    </row>
    <row r="941" customFormat="false" ht="18.7" hidden="false" customHeight="true" outlineLevel="0" collapsed="false">
      <c r="H941" s="9"/>
    </row>
    <row r="942" customFormat="false" ht="18.7" hidden="false" customHeight="true" outlineLevel="0" collapsed="false">
      <c r="H942" s="9"/>
    </row>
    <row r="943" customFormat="false" ht="18.7" hidden="false" customHeight="true" outlineLevel="0" collapsed="false">
      <c r="H943" s="9"/>
    </row>
    <row r="944" customFormat="false" ht="18.7" hidden="false" customHeight="true" outlineLevel="0" collapsed="false">
      <c r="H944" s="9"/>
    </row>
    <row r="945" customFormat="false" ht="18.7" hidden="false" customHeight="true" outlineLevel="0" collapsed="false">
      <c r="H945" s="9"/>
    </row>
    <row r="946" customFormat="false" ht="18.7" hidden="false" customHeight="true" outlineLevel="0" collapsed="false">
      <c r="H946" s="9"/>
    </row>
    <row r="947" customFormat="false" ht="18.7" hidden="false" customHeight="true" outlineLevel="0" collapsed="false">
      <c r="H947" s="9"/>
    </row>
    <row r="948" customFormat="false" ht="18.7" hidden="false" customHeight="true" outlineLevel="0" collapsed="false">
      <c r="H948" s="9"/>
    </row>
    <row r="949" customFormat="false" ht="18.7" hidden="false" customHeight="true" outlineLevel="0" collapsed="false">
      <c r="H949" s="9"/>
    </row>
    <row r="950" customFormat="false" ht="18.7" hidden="false" customHeight="true" outlineLevel="0" collapsed="false">
      <c r="H950" s="9"/>
    </row>
    <row r="951" customFormat="false" ht="18.7" hidden="false" customHeight="true" outlineLevel="0" collapsed="false">
      <c r="H951" s="9"/>
    </row>
    <row r="952" customFormat="false" ht="18.7" hidden="false" customHeight="true" outlineLevel="0" collapsed="false">
      <c r="H952" s="9"/>
    </row>
    <row r="953" customFormat="false" ht="18.7" hidden="false" customHeight="true" outlineLevel="0" collapsed="false">
      <c r="H953" s="9"/>
    </row>
    <row r="954" customFormat="false" ht="18.7" hidden="false" customHeight="true" outlineLevel="0" collapsed="false">
      <c r="H954" s="9"/>
    </row>
    <row r="955" customFormat="false" ht="18.7" hidden="false" customHeight="true" outlineLevel="0" collapsed="false">
      <c r="H955" s="9"/>
    </row>
    <row r="956" customFormat="false" ht="18.7" hidden="false" customHeight="true" outlineLevel="0" collapsed="false">
      <c r="H956" s="9"/>
    </row>
    <row r="957" customFormat="false" ht="18.7" hidden="false" customHeight="true" outlineLevel="0" collapsed="false">
      <c r="H957" s="9"/>
    </row>
    <row r="958" customFormat="false" ht="18.7" hidden="false" customHeight="true" outlineLevel="0" collapsed="false">
      <c r="H958" s="9"/>
    </row>
    <row r="959" customFormat="false" ht="18.7" hidden="false" customHeight="true" outlineLevel="0" collapsed="false">
      <c r="H959" s="9"/>
    </row>
    <row r="960" customFormat="false" ht="18.7" hidden="false" customHeight="true" outlineLevel="0" collapsed="false">
      <c r="H960" s="9"/>
    </row>
    <row r="961" customFormat="false" ht="18.7" hidden="false" customHeight="true" outlineLevel="0" collapsed="false">
      <c r="H961" s="9"/>
    </row>
    <row r="962" customFormat="false" ht="18.7" hidden="false" customHeight="true" outlineLevel="0" collapsed="false">
      <c r="H962" s="9"/>
    </row>
    <row r="963" customFormat="false" ht="18.7" hidden="false" customHeight="true" outlineLevel="0" collapsed="false">
      <c r="H963" s="9"/>
    </row>
    <row r="964" customFormat="false" ht="18.7" hidden="false" customHeight="true" outlineLevel="0" collapsed="false">
      <c r="H964" s="9"/>
    </row>
    <row r="965" customFormat="false" ht="18.7" hidden="false" customHeight="true" outlineLevel="0" collapsed="false">
      <c r="H965" s="9"/>
    </row>
    <row r="966" customFormat="false" ht="18.7" hidden="false" customHeight="true" outlineLevel="0" collapsed="false">
      <c r="H966" s="9"/>
    </row>
    <row r="967" customFormat="false" ht="18.7" hidden="false" customHeight="true" outlineLevel="0" collapsed="false">
      <c r="H967" s="9"/>
    </row>
    <row r="968" customFormat="false" ht="18.7" hidden="false" customHeight="true" outlineLevel="0" collapsed="false">
      <c r="H968" s="9"/>
    </row>
    <row r="969" customFormat="false" ht="18.7" hidden="false" customHeight="true" outlineLevel="0" collapsed="false">
      <c r="H969" s="9"/>
    </row>
    <row r="970" customFormat="false" ht="18.7" hidden="false" customHeight="true" outlineLevel="0" collapsed="false">
      <c r="H970" s="9"/>
    </row>
    <row r="971" customFormat="false" ht="18.7" hidden="false" customHeight="true" outlineLevel="0" collapsed="false">
      <c r="H971" s="9"/>
    </row>
    <row r="972" customFormat="false" ht="18.7" hidden="false" customHeight="true" outlineLevel="0" collapsed="false">
      <c r="H972" s="9"/>
    </row>
    <row r="973" customFormat="false" ht="18.7" hidden="false" customHeight="true" outlineLevel="0" collapsed="false">
      <c r="H973" s="9"/>
    </row>
    <row r="974" customFormat="false" ht="18.7" hidden="false" customHeight="true" outlineLevel="0" collapsed="false">
      <c r="H974" s="9"/>
    </row>
    <row r="975" customFormat="false" ht="18.7" hidden="false" customHeight="true" outlineLevel="0" collapsed="false">
      <c r="H975" s="9"/>
    </row>
    <row r="976" customFormat="false" ht="18.7" hidden="false" customHeight="true" outlineLevel="0" collapsed="false">
      <c r="H976" s="9"/>
    </row>
    <row r="977" customFormat="false" ht="18.7" hidden="false" customHeight="true" outlineLevel="0" collapsed="false">
      <c r="H977" s="9"/>
    </row>
    <row r="978" customFormat="false" ht="18.7" hidden="false" customHeight="true" outlineLevel="0" collapsed="false">
      <c r="H978" s="9"/>
    </row>
    <row r="979" customFormat="false" ht="18.7" hidden="false" customHeight="true" outlineLevel="0" collapsed="false">
      <c r="H979" s="9"/>
    </row>
    <row r="980" customFormat="false" ht="18.7" hidden="false" customHeight="true" outlineLevel="0" collapsed="false">
      <c r="H980" s="9"/>
    </row>
    <row r="981" customFormat="false" ht="18.7" hidden="false" customHeight="true" outlineLevel="0" collapsed="false">
      <c r="H981" s="9"/>
    </row>
    <row r="982" customFormat="false" ht="18.7" hidden="false" customHeight="true" outlineLevel="0" collapsed="false">
      <c r="H982" s="9"/>
    </row>
    <row r="983" customFormat="false" ht="18.7" hidden="false" customHeight="true" outlineLevel="0" collapsed="false">
      <c r="H983" s="9"/>
    </row>
    <row r="984" customFormat="false" ht="18.7" hidden="false" customHeight="true" outlineLevel="0" collapsed="false">
      <c r="H984" s="9"/>
    </row>
    <row r="985" customFormat="false" ht="18.7" hidden="false" customHeight="true" outlineLevel="0" collapsed="false">
      <c r="H985" s="9"/>
    </row>
    <row r="986" customFormat="false" ht="18.7" hidden="false" customHeight="true" outlineLevel="0" collapsed="false">
      <c r="H986" s="9"/>
    </row>
    <row r="987" customFormat="false" ht="18.7" hidden="false" customHeight="true" outlineLevel="0" collapsed="false">
      <c r="H987" s="9"/>
    </row>
    <row r="988" customFormat="false" ht="18.7" hidden="false" customHeight="true" outlineLevel="0" collapsed="false">
      <c r="H988" s="9"/>
    </row>
    <row r="989" customFormat="false" ht="18.7" hidden="false" customHeight="true" outlineLevel="0" collapsed="false">
      <c r="H989" s="9"/>
    </row>
    <row r="990" customFormat="false" ht="18.7" hidden="false" customHeight="true" outlineLevel="0" collapsed="false">
      <c r="H990" s="9"/>
    </row>
    <row r="991" customFormat="false" ht="18.7" hidden="false" customHeight="true" outlineLevel="0" collapsed="false">
      <c r="H991" s="9"/>
    </row>
    <row r="992" customFormat="false" ht="18.7" hidden="false" customHeight="true" outlineLevel="0" collapsed="false">
      <c r="H992" s="9"/>
    </row>
    <row r="993" customFormat="false" ht="18.7" hidden="false" customHeight="true" outlineLevel="0" collapsed="false">
      <c r="H993" s="9"/>
    </row>
    <row r="994" customFormat="false" ht="18.7" hidden="false" customHeight="true" outlineLevel="0" collapsed="false">
      <c r="H994" s="9"/>
    </row>
    <row r="995" customFormat="false" ht="18.7" hidden="false" customHeight="true" outlineLevel="0" collapsed="false">
      <c r="H995" s="9"/>
    </row>
    <row r="996" customFormat="false" ht="18.7" hidden="false" customHeight="true" outlineLevel="0" collapsed="false">
      <c r="H996" s="9"/>
    </row>
    <row r="997" customFormat="false" ht="18.7" hidden="false" customHeight="true" outlineLevel="0" collapsed="false">
      <c r="H997" s="9"/>
    </row>
    <row r="998" customFormat="false" ht="18.7" hidden="false" customHeight="true" outlineLevel="0" collapsed="false">
      <c r="H998" s="9"/>
    </row>
    <row r="999" customFormat="false" ht="18.7" hidden="false" customHeight="true" outlineLevel="0" collapsed="false">
      <c r="H999" s="9"/>
    </row>
    <row r="1000" customFormat="false" ht="18.7" hidden="false" customHeight="true" outlineLevel="0" collapsed="false">
      <c r="H1000" s="9"/>
    </row>
    <row r="1001" customFormat="false" ht="18.7" hidden="false" customHeight="true" outlineLevel="0" collapsed="false">
      <c r="H1001" s="9"/>
    </row>
    <row r="1002" customFormat="false" ht="18.7" hidden="false" customHeight="true" outlineLevel="0" collapsed="false">
      <c r="H1002" s="9"/>
    </row>
    <row r="1003" customFormat="false" ht="18.7" hidden="false" customHeight="true" outlineLevel="0" collapsed="false">
      <c r="H1003" s="9"/>
    </row>
    <row r="1004" customFormat="false" ht="18.7" hidden="false" customHeight="true" outlineLevel="0" collapsed="false">
      <c r="H1004" s="9"/>
    </row>
    <row r="1005" customFormat="false" ht="18.7" hidden="false" customHeight="true" outlineLevel="0" collapsed="false">
      <c r="H1005" s="9"/>
    </row>
    <row r="1006" customFormat="false" ht="18.7" hidden="false" customHeight="true" outlineLevel="0" collapsed="false">
      <c r="H1006" s="9"/>
    </row>
    <row r="1007" customFormat="false" ht="18.7" hidden="false" customHeight="true" outlineLevel="0" collapsed="false">
      <c r="H1007" s="9"/>
    </row>
    <row r="1008" customFormat="false" ht="18.7" hidden="false" customHeight="true" outlineLevel="0" collapsed="false">
      <c r="H1008" s="9"/>
    </row>
    <row r="1009" customFormat="false" ht="18.7" hidden="false" customHeight="true" outlineLevel="0" collapsed="false">
      <c r="H1009" s="9"/>
    </row>
    <row r="1010" customFormat="false" ht="18.7" hidden="false" customHeight="true" outlineLevel="0" collapsed="false">
      <c r="H1010" s="9"/>
    </row>
    <row r="1011" customFormat="false" ht="18.7" hidden="false" customHeight="true" outlineLevel="0" collapsed="false">
      <c r="H1011" s="9"/>
    </row>
    <row r="1012" customFormat="false" ht="18.7" hidden="false" customHeight="true" outlineLevel="0" collapsed="false">
      <c r="H1012" s="9"/>
    </row>
    <row r="1013" customFormat="false" ht="18.7" hidden="false" customHeight="true" outlineLevel="0" collapsed="false">
      <c r="H1013" s="9"/>
    </row>
    <row r="1014" customFormat="false" ht="18.7" hidden="false" customHeight="true" outlineLevel="0" collapsed="false">
      <c r="H1014" s="9"/>
    </row>
    <row r="1015" customFormat="false" ht="18.7" hidden="false" customHeight="true" outlineLevel="0" collapsed="false">
      <c r="H1015" s="9"/>
    </row>
    <row r="1016" customFormat="false" ht="18.7" hidden="false" customHeight="true" outlineLevel="0" collapsed="false">
      <c r="H1016" s="9"/>
    </row>
    <row r="1017" customFormat="false" ht="18.7" hidden="false" customHeight="true" outlineLevel="0" collapsed="false">
      <c r="H1017" s="9"/>
    </row>
    <row r="1018" customFormat="false" ht="18.7" hidden="false" customHeight="true" outlineLevel="0" collapsed="false">
      <c r="H1018" s="9"/>
    </row>
    <row r="1019" customFormat="false" ht="18.7" hidden="false" customHeight="true" outlineLevel="0" collapsed="false">
      <c r="H1019" s="9"/>
    </row>
    <row r="1020" customFormat="false" ht="18.7" hidden="false" customHeight="true" outlineLevel="0" collapsed="false">
      <c r="H1020" s="9"/>
    </row>
    <row r="1021" customFormat="false" ht="18.7" hidden="false" customHeight="true" outlineLevel="0" collapsed="false">
      <c r="H1021" s="9"/>
    </row>
    <row r="1022" customFormat="false" ht="18.7" hidden="false" customHeight="true" outlineLevel="0" collapsed="false">
      <c r="H1022" s="9"/>
    </row>
    <row r="1023" customFormat="false" ht="18.7" hidden="false" customHeight="true" outlineLevel="0" collapsed="false">
      <c r="H1023" s="9"/>
    </row>
    <row r="1024" customFormat="false" ht="18.7" hidden="false" customHeight="true" outlineLevel="0" collapsed="false">
      <c r="H1024" s="9"/>
    </row>
    <row r="1025" customFormat="false" ht="18.7" hidden="false" customHeight="true" outlineLevel="0" collapsed="false">
      <c r="H1025" s="9"/>
    </row>
    <row r="1026" customFormat="false" ht="18.7" hidden="false" customHeight="true" outlineLevel="0" collapsed="false">
      <c r="H1026" s="9"/>
    </row>
    <row r="1027" customFormat="false" ht="18.7" hidden="false" customHeight="true" outlineLevel="0" collapsed="false">
      <c r="H1027" s="9"/>
    </row>
    <row r="1028" customFormat="false" ht="18.7" hidden="false" customHeight="true" outlineLevel="0" collapsed="false">
      <c r="H1028" s="9"/>
    </row>
    <row r="1029" customFormat="false" ht="18.7" hidden="false" customHeight="true" outlineLevel="0" collapsed="false">
      <c r="H1029" s="9"/>
    </row>
    <row r="1030" customFormat="false" ht="18.7" hidden="false" customHeight="true" outlineLevel="0" collapsed="false">
      <c r="H1030" s="9"/>
    </row>
    <row r="1031" customFormat="false" ht="18.7" hidden="false" customHeight="true" outlineLevel="0" collapsed="false">
      <c r="H1031" s="9"/>
    </row>
    <row r="1032" customFormat="false" ht="18.7" hidden="false" customHeight="true" outlineLevel="0" collapsed="false">
      <c r="H1032" s="9"/>
    </row>
    <row r="1033" customFormat="false" ht="18.7" hidden="false" customHeight="true" outlineLevel="0" collapsed="false">
      <c r="H1033" s="9"/>
    </row>
    <row r="1034" customFormat="false" ht="18.7" hidden="false" customHeight="true" outlineLevel="0" collapsed="false">
      <c r="H1034" s="9"/>
    </row>
    <row r="1035" customFormat="false" ht="18.7" hidden="false" customHeight="true" outlineLevel="0" collapsed="false">
      <c r="H1035" s="9"/>
    </row>
    <row r="1036" customFormat="false" ht="18.7" hidden="false" customHeight="true" outlineLevel="0" collapsed="false">
      <c r="H1036" s="9"/>
    </row>
    <row r="1037" customFormat="false" ht="18.7" hidden="false" customHeight="true" outlineLevel="0" collapsed="false">
      <c r="H1037" s="9"/>
    </row>
    <row r="1038" customFormat="false" ht="18.7" hidden="false" customHeight="true" outlineLevel="0" collapsed="false">
      <c r="H1038" s="9"/>
    </row>
    <row r="1039" customFormat="false" ht="18.7" hidden="false" customHeight="true" outlineLevel="0" collapsed="false">
      <c r="H1039" s="9"/>
    </row>
    <row r="1040" customFormat="false" ht="18.7" hidden="false" customHeight="true" outlineLevel="0" collapsed="false">
      <c r="H1040" s="9"/>
    </row>
    <row r="1041" customFormat="false" ht="18.7" hidden="false" customHeight="true" outlineLevel="0" collapsed="false">
      <c r="H1041" s="9"/>
    </row>
    <row r="1042" customFormat="false" ht="18.7" hidden="false" customHeight="true" outlineLevel="0" collapsed="false">
      <c r="H1042" s="9"/>
    </row>
    <row r="1043" customFormat="false" ht="18.7" hidden="false" customHeight="true" outlineLevel="0" collapsed="false">
      <c r="H1043" s="9"/>
    </row>
    <row r="1044" customFormat="false" ht="18.7" hidden="false" customHeight="true" outlineLevel="0" collapsed="false">
      <c r="H1044" s="9"/>
    </row>
    <row r="1045" customFormat="false" ht="18.7" hidden="false" customHeight="true" outlineLevel="0" collapsed="false">
      <c r="H1045" s="9"/>
    </row>
    <row r="1046" customFormat="false" ht="18.7" hidden="false" customHeight="true" outlineLevel="0" collapsed="false">
      <c r="H1046" s="9"/>
    </row>
    <row r="1047" customFormat="false" ht="18.7" hidden="false" customHeight="true" outlineLevel="0" collapsed="false">
      <c r="H1047" s="9"/>
    </row>
    <row r="1048" customFormat="false" ht="18.7" hidden="false" customHeight="true" outlineLevel="0" collapsed="false">
      <c r="H1048" s="9"/>
    </row>
    <row r="1049" customFormat="false" ht="18.7" hidden="false" customHeight="true" outlineLevel="0" collapsed="false">
      <c r="H1049" s="9"/>
    </row>
    <row r="1050" customFormat="false" ht="18.7" hidden="false" customHeight="true" outlineLevel="0" collapsed="false">
      <c r="H1050" s="9"/>
    </row>
    <row r="1051" customFormat="false" ht="18.7" hidden="false" customHeight="true" outlineLevel="0" collapsed="false">
      <c r="H1051" s="9"/>
    </row>
    <row r="1052" customFormat="false" ht="18.7" hidden="false" customHeight="true" outlineLevel="0" collapsed="false">
      <c r="H1052" s="9"/>
    </row>
    <row r="1053" customFormat="false" ht="18.7" hidden="false" customHeight="true" outlineLevel="0" collapsed="false">
      <c r="H1053" s="9"/>
    </row>
    <row r="1054" customFormat="false" ht="18.7" hidden="false" customHeight="true" outlineLevel="0" collapsed="false">
      <c r="H1054" s="9"/>
    </row>
    <row r="1055" customFormat="false" ht="18.7" hidden="false" customHeight="true" outlineLevel="0" collapsed="false">
      <c r="H1055" s="9"/>
    </row>
    <row r="1056" customFormat="false" ht="18.7" hidden="false" customHeight="true" outlineLevel="0" collapsed="false">
      <c r="H1056" s="9"/>
    </row>
    <row r="1057" customFormat="false" ht="18.7" hidden="false" customHeight="true" outlineLevel="0" collapsed="false">
      <c r="H1057" s="9"/>
    </row>
    <row r="1058" customFormat="false" ht="18.7" hidden="false" customHeight="true" outlineLevel="0" collapsed="false">
      <c r="H1058" s="9"/>
    </row>
    <row r="1059" customFormat="false" ht="18.7" hidden="false" customHeight="true" outlineLevel="0" collapsed="false">
      <c r="H1059" s="9"/>
    </row>
    <row r="1060" customFormat="false" ht="18.7" hidden="false" customHeight="true" outlineLevel="0" collapsed="false">
      <c r="H1060" s="9"/>
    </row>
    <row r="1061" customFormat="false" ht="18.7" hidden="false" customHeight="true" outlineLevel="0" collapsed="false">
      <c r="H1061" s="9"/>
    </row>
    <row r="1062" customFormat="false" ht="18.7" hidden="false" customHeight="true" outlineLevel="0" collapsed="false">
      <c r="H1062" s="9"/>
    </row>
    <row r="1063" customFormat="false" ht="18.7" hidden="false" customHeight="true" outlineLevel="0" collapsed="false">
      <c r="H1063" s="9"/>
    </row>
    <row r="1064" customFormat="false" ht="18.7" hidden="false" customHeight="true" outlineLevel="0" collapsed="false">
      <c r="H1064" s="9"/>
    </row>
    <row r="1065" customFormat="false" ht="18.7" hidden="false" customHeight="true" outlineLevel="0" collapsed="false">
      <c r="H1065" s="9"/>
    </row>
    <row r="1066" customFormat="false" ht="18.7" hidden="false" customHeight="true" outlineLevel="0" collapsed="false">
      <c r="H1066" s="9"/>
    </row>
    <row r="1067" customFormat="false" ht="18.7" hidden="false" customHeight="true" outlineLevel="0" collapsed="false">
      <c r="H1067" s="9"/>
    </row>
    <row r="1068" customFormat="false" ht="18.7" hidden="false" customHeight="true" outlineLevel="0" collapsed="false">
      <c r="H1068" s="9"/>
    </row>
    <row r="1069" customFormat="false" ht="18.7" hidden="false" customHeight="true" outlineLevel="0" collapsed="false">
      <c r="H1069" s="9"/>
    </row>
    <row r="1070" customFormat="false" ht="18.7" hidden="false" customHeight="true" outlineLevel="0" collapsed="false">
      <c r="H1070" s="9"/>
    </row>
    <row r="1071" customFormat="false" ht="18.7" hidden="false" customHeight="true" outlineLevel="0" collapsed="false">
      <c r="H1071" s="9"/>
    </row>
    <row r="1072" customFormat="false" ht="18.7" hidden="false" customHeight="true" outlineLevel="0" collapsed="false">
      <c r="H1072" s="9"/>
    </row>
    <row r="1073" customFormat="false" ht="18.7" hidden="false" customHeight="true" outlineLevel="0" collapsed="false">
      <c r="H1073" s="9"/>
    </row>
    <row r="1074" customFormat="false" ht="18.7" hidden="false" customHeight="true" outlineLevel="0" collapsed="false">
      <c r="H1074" s="9"/>
    </row>
    <row r="1075" customFormat="false" ht="18.7" hidden="false" customHeight="true" outlineLevel="0" collapsed="false">
      <c r="H1075" s="9"/>
    </row>
    <row r="1076" customFormat="false" ht="18.7" hidden="false" customHeight="true" outlineLevel="0" collapsed="false">
      <c r="H1076" s="9"/>
    </row>
    <row r="1077" customFormat="false" ht="18.7" hidden="false" customHeight="true" outlineLevel="0" collapsed="false">
      <c r="H1077" s="9"/>
    </row>
    <row r="1078" customFormat="false" ht="18.7" hidden="false" customHeight="true" outlineLevel="0" collapsed="false">
      <c r="H1078" s="9"/>
    </row>
    <row r="1079" customFormat="false" ht="18.7" hidden="false" customHeight="true" outlineLevel="0" collapsed="false">
      <c r="H1079" s="9"/>
    </row>
    <row r="1080" customFormat="false" ht="18.7" hidden="false" customHeight="true" outlineLevel="0" collapsed="false">
      <c r="H1080" s="9"/>
    </row>
    <row r="1081" customFormat="false" ht="18.7" hidden="false" customHeight="true" outlineLevel="0" collapsed="false">
      <c r="H1081" s="9"/>
    </row>
    <row r="1082" customFormat="false" ht="18.7" hidden="false" customHeight="true" outlineLevel="0" collapsed="false">
      <c r="H1082" s="9"/>
    </row>
    <row r="1083" customFormat="false" ht="18.7" hidden="false" customHeight="true" outlineLevel="0" collapsed="false">
      <c r="H1083" s="9"/>
    </row>
    <row r="1084" customFormat="false" ht="18.7" hidden="false" customHeight="true" outlineLevel="0" collapsed="false">
      <c r="H1084" s="9"/>
    </row>
    <row r="1085" customFormat="false" ht="18.7" hidden="false" customHeight="true" outlineLevel="0" collapsed="false">
      <c r="H1085" s="9"/>
    </row>
    <row r="1086" customFormat="false" ht="18.7" hidden="false" customHeight="true" outlineLevel="0" collapsed="false">
      <c r="H1086" s="9"/>
    </row>
    <row r="1087" customFormat="false" ht="18.7" hidden="false" customHeight="true" outlineLevel="0" collapsed="false">
      <c r="H1087" s="9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3" width="9.72"/>
    <col collapsed="false" customWidth="true" hidden="false" outlineLevel="0" max="2" min="2" style="2" width="16.81"/>
    <col collapsed="false" customWidth="true" hidden="false" outlineLevel="0" max="3" min="3" style="3" width="21.38"/>
    <col collapsed="false" customWidth="true" hidden="false" outlineLevel="0" max="4" min="4" style="3" width="45.3"/>
    <col collapsed="false" customWidth="true" hidden="false" outlineLevel="0" max="5" min="5" style="1" width="16.36"/>
    <col collapsed="false" customWidth="true" hidden="false" outlineLevel="0" max="6" min="6" style="3" width="81.2"/>
    <col collapsed="false" customWidth="true" hidden="false" outlineLevel="0" max="7" min="7" style="3" width="103.92"/>
    <col collapsed="false" customWidth="true" hidden="false" outlineLevel="0" max="8" min="8" style="3" width="20.37"/>
    <col collapsed="false" customWidth="true" hidden="false" outlineLevel="0" max="9" min="9" style="3" width="18.83"/>
    <col collapsed="false" customWidth="true" hidden="false" outlineLevel="0" max="10" min="10" style="3" width="82.74"/>
    <col collapsed="false" customWidth="true" hidden="false" outlineLevel="0" max="11" min="11" style="1" width="16.06"/>
    <col collapsed="false" customWidth="false" hidden="false" outlineLevel="0" max="1024" min="12" style="4" width="11.52"/>
  </cols>
  <sheetData>
    <row r="1" customFormat="false" ht="23.05" hidden="false" customHeight="true" outlineLevel="0" collapsed="false">
      <c r="A1" s="5" t="s">
        <v>0</v>
      </c>
      <c r="B1" s="12" t="s">
        <v>1</v>
      </c>
      <c r="C1" s="5" t="s">
        <v>2</v>
      </c>
      <c r="D1" s="5" t="s">
        <v>3</v>
      </c>
      <c r="E1" s="5" t="s">
        <v>5</v>
      </c>
      <c r="F1" s="5" t="s">
        <v>4</v>
      </c>
      <c r="G1" s="5" t="s">
        <v>1447</v>
      </c>
      <c r="H1" s="5" t="s">
        <v>1448</v>
      </c>
      <c r="I1" s="5" t="s">
        <v>1266</v>
      </c>
      <c r="J1" s="5" t="s">
        <v>1449</v>
      </c>
      <c r="K1" s="5" t="s">
        <v>1450</v>
      </c>
    </row>
    <row r="2" customFormat="false" ht="18.7" hidden="false" customHeight="true" outlineLevel="0" collapsed="false">
      <c r="A2" s="1" t="n">
        <v>1</v>
      </c>
      <c r="B2" s="7" t="str">
        <f aca="false">HYPERLINK("https://mncourtfraud.com/file/MDL-31.zip","MDL-31.zip")</f>
        <v>MDL-31.zip</v>
      </c>
      <c r="C2" s="8" t="str">
        <f aca="false">HYPERLINK("https://mncourtfraud.com/file/27-CR-19-12130.pdf","27-CR-19-12130")</f>
        <v>27-CR-19-12130</v>
      </c>
      <c r="D2" s="3" t="s">
        <v>468</v>
      </c>
      <c r="E2" s="9" t="n">
        <v>45033</v>
      </c>
      <c r="F2" s="8" t="str">
        <f aca="false">HYPERLINK("https://mncourtfraud.com/file/MCRO_27-CR-19-12130_Returned Mail_2023-04-17_20240430091717.pdf","MCRO_27-CR-19-12130_Returned Mail_2023-04-17_20240430091717.pdf")</f>
        <v>MCRO_27-CR-19-12130_Returned Mail_2023-04-17_20240430091717.pdf</v>
      </c>
      <c r="G2" s="3" t="s">
        <v>1451</v>
      </c>
      <c r="H2" s="3" t="s">
        <v>1452</v>
      </c>
      <c r="I2" s="3" t="s">
        <v>1453</v>
      </c>
      <c r="J2" s="8" t="str">
        <f aca="false">HYPERLINK("https://mncourtfraud.com/file/7692d2f491e4b98d89ac31e6c79bf9ee1ec80674eb1d7a0c3f482442bcda02b2.jpg","7692d2f491e4b98d89ac31e6c79bf9ee1ec80674eb1d7a0c3f482442bcda02b2")</f>
        <v>7692d2f491e4b98d89ac31e6c79bf9ee1ec80674eb1d7a0c3f482442bcda02b2</v>
      </c>
      <c r="K2" s="1" t="s">
        <v>1454</v>
      </c>
    </row>
    <row r="3" customFormat="false" ht="18.7" hidden="false" customHeight="true" outlineLevel="0" collapsed="false">
      <c r="A3" s="1" t="n">
        <v>2</v>
      </c>
      <c r="B3" s="7" t="str">
        <f aca="false">HYPERLINK("https://mncourtfraud.com/file/MDL-31.zip","MDL-31.zip")</f>
        <v>MDL-31.zip</v>
      </c>
      <c r="C3" s="8" t="str">
        <f aca="false">HYPERLINK("https://mncourtfraud.com/file/27-CR-20-9036.pdf","27-CR-20-9036")</f>
        <v>27-CR-20-9036</v>
      </c>
      <c r="D3" s="3" t="s">
        <v>468</v>
      </c>
      <c r="E3" s="9" t="n">
        <v>45033</v>
      </c>
      <c r="F3" s="8" t="str">
        <f aca="false">HYPERLINK("https://mncourtfraud.com/file/MCRO_27-CR-20-9036_Returned Mail_2023-04-17_20240430085547.pdf","MCRO_27-CR-20-9036_Returned Mail_2023-04-17_20240430085547.pdf")</f>
        <v>MCRO_27-CR-20-9036_Returned Mail_2023-04-17_20240430085547.pdf</v>
      </c>
      <c r="G3" s="3" t="s">
        <v>1451</v>
      </c>
      <c r="H3" s="3" t="s">
        <v>1452</v>
      </c>
      <c r="I3" s="3" t="s">
        <v>1453</v>
      </c>
      <c r="J3" s="8" t="str">
        <f aca="false">HYPERLINK("https://mncourtfraud.com/file/7692d2f491e4b98d89ac31e6c79bf9ee1ec80674eb1d7a0c3f482442bcda02b2.jpg","7692d2f491e4b98d89ac31e6c79bf9ee1ec80674eb1d7a0c3f482442bcda02b2")</f>
        <v>7692d2f491e4b98d89ac31e6c79bf9ee1ec80674eb1d7a0c3f482442bcda02b2</v>
      </c>
      <c r="K3" s="1" t="s">
        <v>1454</v>
      </c>
    </row>
    <row r="4" customFormat="false" ht="18.7" hidden="false" customHeight="true" outlineLevel="0" collapsed="false">
      <c r="A4" s="1" t="n">
        <v>3</v>
      </c>
      <c r="B4" s="7" t="str">
        <f aca="false">HYPERLINK("https://mncourtfraud.com/file/MDL-31.zip","MDL-31.zip")</f>
        <v>MDL-31.zip</v>
      </c>
      <c r="C4" s="8" t="str">
        <f aca="false">HYPERLINK("https://mncourtfraud.com/file/27-CR-21-1230.pdf","27-CR-21-1230")</f>
        <v>27-CR-21-1230</v>
      </c>
      <c r="D4" s="3" t="s">
        <v>468</v>
      </c>
      <c r="E4" s="9" t="n">
        <v>45033</v>
      </c>
      <c r="F4" s="8" t="str">
        <f aca="false">HYPERLINK("https://mncourtfraud.com/file/MCRO_27-CR-21-1230_Returned Mail_2023-04-17_20240430075422.pdf","MCRO_27-CR-21-1230_Returned Mail_2023-04-17_20240430075422.pdf")</f>
        <v>MCRO_27-CR-21-1230_Returned Mail_2023-04-17_20240430075422.pdf</v>
      </c>
      <c r="G4" s="3" t="s">
        <v>1451</v>
      </c>
      <c r="H4" s="3" t="s">
        <v>1452</v>
      </c>
      <c r="I4" s="3" t="s">
        <v>1453</v>
      </c>
      <c r="J4" s="8" t="str">
        <f aca="false">HYPERLINK("https://mncourtfraud.com/file/7692d2f491e4b98d89ac31e6c79bf9ee1ec80674eb1d7a0c3f482442bcda02b2.jpg","7692d2f491e4b98d89ac31e6c79bf9ee1ec80674eb1d7a0c3f482442bcda02b2")</f>
        <v>7692d2f491e4b98d89ac31e6c79bf9ee1ec80674eb1d7a0c3f482442bcda02b2</v>
      </c>
      <c r="K4" s="1" t="s">
        <v>1454</v>
      </c>
    </row>
    <row r="5" customFormat="false" ht="18.7" hidden="false" customHeight="true" outlineLevel="0" collapsed="false">
      <c r="A5" s="1" t="n">
        <v>4</v>
      </c>
      <c r="B5" s="7" t="str">
        <f aca="false">HYPERLINK("https://mncourtfraud.com/file/MDL-31.zip","MDL-31.zip")</f>
        <v>MDL-31.zip</v>
      </c>
      <c r="C5" s="8" t="str">
        <f aca="false">HYPERLINK("https://mncourtfraud.com/file/27-CR-21-13752.pdf","27-CR-21-13752")</f>
        <v>27-CR-21-13752</v>
      </c>
      <c r="D5" s="3" t="s">
        <v>468</v>
      </c>
      <c r="E5" s="9" t="n">
        <v>45033</v>
      </c>
      <c r="F5" s="8" t="str">
        <f aca="false">HYPERLINK("https://mncourtfraud.com/file/MCRO_27-CR-21-13752_Returned Mail_2023-04-17_20240430082334.pdf","MCRO_27-CR-21-13752_Returned Mail_2023-04-17_20240430082334.pdf")</f>
        <v>MCRO_27-CR-21-13752_Returned Mail_2023-04-17_20240430082334.pdf</v>
      </c>
      <c r="G5" s="3" t="s">
        <v>1451</v>
      </c>
      <c r="H5" s="3" t="s">
        <v>1452</v>
      </c>
      <c r="I5" s="3" t="s">
        <v>1453</v>
      </c>
      <c r="J5" s="8" t="str">
        <f aca="false">HYPERLINK("https://mncourtfraud.com/file/7692d2f491e4b98d89ac31e6c79bf9ee1ec80674eb1d7a0c3f482442bcda02b2.jpg","7692d2f491e4b98d89ac31e6c79bf9ee1ec80674eb1d7a0c3f482442bcda02b2")</f>
        <v>7692d2f491e4b98d89ac31e6c79bf9ee1ec80674eb1d7a0c3f482442bcda02b2</v>
      </c>
      <c r="K5" s="1" t="s">
        <v>1454</v>
      </c>
    </row>
    <row r="6" customFormat="false" ht="18.7" hidden="false" customHeight="true" outlineLevel="0" collapsed="false">
      <c r="A6" s="1" t="n">
        <v>5</v>
      </c>
      <c r="B6" s="7" t="str">
        <f aca="false">HYPERLINK("https://mncourtfraud.com/file/MDL-31.zip","MDL-31.zip")</f>
        <v>MDL-31.zip</v>
      </c>
      <c r="C6" s="8" t="str">
        <f aca="false">HYPERLINK("https://mncourtfraud.com/file/27-CR-20-20851.pdf","27-CR-20-20851")</f>
        <v>27-CR-20-20851</v>
      </c>
      <c r="D6" s="3" t="s">
        <v>483</v>
      </c>
      <c r="E6" s="9" t="n">
        <v>45033</v>
      </c>
      <c r="F6" s="8" t="str">
        <f aca="false">HYPERLINK("https://mncourtfraud.com/file/MCRO_27-CR-20-20851_Returned Mail_2023-04-17_20240430090336.pdf","MCRO_27-CR-20-20851_Returned Mail_2023-04-17_20240430090336.pdf")</f>
        <v>MCRO_27-CR-20-20851_Returned Mail_2023-04-17_20240430090336.pdf</v>
      </c>
      <c r="G6" s="3" t="s">
        <v>1451</v>
      </c>
      <c r="H6" s="3" t="s">
        <v>1452</v>
      </c>
      <c r="I6" s="3" t="s">
        <v>1453</v>
      </c>
      <c r="J6" s="8" t="str">
        <f aca="false">HYPERLINK("https://mncourtfraud.com/file/7692d2f491e4b98d89ac31e6c79bf9ee1ec80674eb1d7a0c3f482442bcda02b2.jpg","7692d2f491e4b98d89ac31e6c79bf9ee1ec80674eb1d7a0c3f482442bcda02b2")</f>
        <v>7692d2f491e4b98d89ac31e6c79bf9ee1ec80674eb1d7a0c3f482442bcda02b2</v>
      </c>
      <c r="K6" s="1" t="s">
        <v>1454</v>
      </c>
    </row>
    <row r="7" customFormat="false" ht="18.7" hidden="false" customHeight="true" outlineLevel="0" collapsed="false">
      <c r="A7" s="1" t="n">
        <v>6</v>
      </c>
      <c r="B7" s="7" t="str">
        <f aca="false">HYPERLINK("https://mncourtfraud.com/file/MDL-31.zip","MDL-31.zip")</f>
        <v>MDL-31.zip</v>
      </c>
      <c r="C7" s="8" t="str">
        <f aca="false">HYPERLINK("https://mncourtfraud.com/file/27-CR-22-10055.pdf","27-CR-22-10055")</f>
        <v>27-CR-22-10055</v>
      </c>
      <c r="D7" s="3" t="s">
        <v>487</v>
      </c>
      <c r="E7" s="9" t="n">
        <v>45033</v>
      </c>
      <c r="F7" s="8" t="str">
        <f aca="false">HYPERLINK("https://mncourtfraud.com/file/MCRO_27-CR-22-10055_Returned Mail_2023-04-17_20240429152800.pdf","MCRO_27-CR-22-10055_Returned Mail_2023-04-17_20240429152800.pdf")</f>
        <v>MCRO_27-CR-22-10055_Returned Mail_2023-04-17_20240429152800.pdf</v>
      </c>
      <c r="G7" s="3" t="s">
        <v>1451</v>
      </c>
      <c r="H7" s="3" t="s">
        <v>1452</v>
      </c>
      <c r="I7" s="3" t="s">
        <v>1453</v>
      </c>
      <c r="J7" s="8" t="str">
        <f aca="false">HYPERLINK("https://mncourtfraud.com/file/7692d2f491e4b98d89ac31e6c79bf9ee1ec80674eb1d7a0c3f482442bcda02b2.jpg","7692d2f491e4b98d89ac31e6c79bf9ee1ec80674eb1d7a0c3f482442bcda02b2")</f>
        <v>7692d2f491e4b98d89ac31e6c79bf9ee1ec80674eb1d7a0c3f482442bcda02b2</v>
      </c>
      <c r="K7" s="1" t="s">
        <v>1454</v>
      </c>
    </row>
    <row r="8" customFormat="false" ht="18.7" hidden="false" customHeight="true" outlineLevel="0" collapsed="false">
      <c r="A8" s="1" t="n">
        <v>7</v>
      </c>
      <c r="E8" s="9"/>
    </row>
    <row r="9" customFormat="false" ht="18.7" hidden="false" customHeight="true" outlineLevel="0" collapsed="false">
      <c r="A9" s="1" t="n">
        <v>8</v>
      </c>
      <c r="B9" s="7" t="str">
        <f aca="false">HYPERLINK("https://mncourtfraud.com/file/MDL-32.zip","MDL-32.zip")</f>
        <v>MDL-32.zip</v>
      </c>
      <c r="C9" s="8" t="str">
        <f aca="false">HYPERLINK("https://mncourtfraud.com/file/27-CR-19-11566.pdf","27-CR-19-11566")</f>
        <v>27-CR-19-11566</v>
      </c>
      <c r="D9" s="3" t="s">
        <v>468</v>
      </c>
      <c r="E9" s="9" t="n">
        <v>44447</v>
      </c>
      <c r="F9" s="8" t="str">
        <f aca="false">HYPERLINK("https://mncourtfraud.com/file/MCRO_27-CR-19-11566_Returned Mail_2021-09-08_20240430091618.pdf","MCRO_27-CR-19-11566_Returned Mail_2021-09-08_20240430091618.pdf")</f>
        <v>MCRO_27-CR-19-11566_Returned Mail_2021-09-08_20240430091618.pdf</v>
      </c>
      <c r="G9" s="3" t="s">
        <v>1455</v>
      </c>
      <c r="H9" s="3" t="s">
        <v>1452</v>
      </c>
      <c r="I9" s="3" t="s">
        <v>1453</v>
      </c>
      <c r="J9" s="8" t="str">
        <f aca="false">HYPERLINK("https://mncourtfraud.com/file/b2caf7265276a4c0b416647961f3666e169f19388e3dc1575a53326287178247.jpg","b2caf7265276a4c0b416647961f3666e169f19388e3dc1575a53326287178247")</f>
        <v>b2caf7265276a4c0b416647961f3666e169f19388e3dc1575a53326287178247</v>
      </c>
      <c r="K9" s="1" t="s">
        <v>1454</v>
      </c>
    </row>
    <row r="10" customFormat="false" ht="18.7" hidden="false" customHeight="true" outlineLevel="0" collapsed="false">
      <c r="A10" s="1" t="n">
        <v>9</v>
      </c>
      <c r="B10" s="7" t="str">
        <f aca="false">HYPERLINK("https://mncourtfraud.com/file/MDL-32.zip","MDL-32.zip")</f>
        <v>MDL-32.zip</v>
      </c>
      <c r="C10" s="8" t="str">
        <f aca="false">HYPERLINK("https://mncourtfraud.com/file/27-CR-21-13752.pdf","27-CR-21-13752")</f>
        <v>27-CR-21-13752</v>
      </c>
      <c r="D10" s="3" t="s">
        <v>468</v>
      </c>
      <c r="E10" s="9" t="n">
        <v>44447</v>
      </c>
      <c r="F10" s="8" t="str">
        <f aca="false">HYPERLINK("https://mncourtfraud.com/file/MCRO_27-CR-21-13752_Returned Mail_2021-09-08_20240430082356.pdf","MCRO_27-CR-21-13752_Returned Mail_2021-09-08_20240430082356.pdf")</f>
        <v>MCRO_27-CR-21-13752_Returned Mail_2021-09-08_20240430082356.pdf</v>
      </c>
      <c r="G10" s="3" t="s">
        <v>1455</v>
      </c>
      <c r="H10" s="3" t="s">
        <v>1452</v>
      </c>
      <c r="I10" s="3" t="s">
        <v>1453</v>
      </c>
      <c r="J10" s="8" t="str">
        <f aca="false">HYPERLINK("https://mncourtfraud.com/file/b2caf7265276a4c0b416647961f3666e169f19388e3dc1575a53326287178247.jpg","b2caf7265276a4c0b416647961f3666e169f19388e3dc1575a53326287178247")</f>
        <v>b2caf7265276a4c0b416647961f3666e169f19388e3dc1575a53326287178247</v>
      </c>
      <c r="K10" s="1" t="s">
        <v>1454</v>
      </c>
    </row>
    <row r="11" customFormat="false" ht="18.7" hidden="false" customHeight="true" outlineLevel="0" collapsed="false">
      <c r="A11" s="1" t="n">
        <v>10</v>
      </c>
      <c r="E11" s="9"/>
    </row>
    <row r="12" customFormat="false" ht="18.7" hidden="false" customHeight="true" outlineLevel="0" collapsed="false">
      <c r="A12" s="1" t="n">
        <v>11</v>
      </c>
      <c r="B12" s="7" t="str">
        <f aca="false">HYPERLINK("https://mncourtfraud.com/file/ADN-32.zip","ADN-32.zip")</f>
        <v>ADN-32.zip</v>
      </c>
      <c r="C12" s="8" t="str">
        <f aca="false">HYPERLINK("https://mncourtfraud.com/file/27-CR-21-1977.pdf","27-CR-21-1977")</f>
        <v>27-CR-21-1977</v>
      </c>
      <c r="D12" s="3" t="s">
        <v>775</v>
      </c>
      <c r="E12" s="9" t="n">
        <v>45064</v>
      </c>
      <c r="F12" s="8" t="str">
        <f aca="false">HYPERLINK("https://mncourtfraud.com/file/MCRO_27-CR-21-1977_Returned Mail_2023-05-18_20240430075557.pdf","MCRO_27-CR-21-1977_Returned Mail_2023-05-18_20240430075557.pdf")</f>
        <v>MCRO_27-CR-21-1977_Returned Mail_2023-05-18_20240430075557.pdf</v>
      </c>
      <c r="G12" s="3" t="s">
        <v>1456</v>
      </c>
      <c r="H12" s="3" t="s">
        <v>1452</v>
      </c>
      <c r="I12" s="3" t="s">
        <v>1453</v>
      </c>
      <c r="J12" s="8" t="str">
        <f aca="false">HYPERLINK("https://mncourtfraud.com/file/79184e172406b6b27a0405baab264c1ddf92f2abe1189db35b339f72cacdfc60.jpg","79184e172406b6b27a0405baab264c1ddf92f2abe1189db35b339f72cacdfc60")</f>
        <v>79184e172406b6b27a0405baab264c1ddf92f2abe1189db35b339f72cacdfc60</v>
      </c>
      <c r="K12" s="1" t="s">
        <v>1454</v>
      </c>
    </row>
    <row r="13" customFormat="false" ht="18.7" hidden="false" customHeight="true" outlineLevel="0" collapsed="false">
      <c r="A13" s="1" t="n">
        <v>12</v>
      </c>
      <c r="B13" s="7" t="str">
        <f aca="false">HYPERLINK("https://mncourtfraud.com/file/ADN-32.zip","ADN-32.zip")</f>
        <v>ADN-32.zip</v>
      </c>
      <c r="C13" s="8" t="str">
        <f aca="false">HYPERLINK("https://mncourtfraud.com/file/27-CR-21-1978.pdf","27-CR-21-1978")</f>
        <v>27-CR-21-1978</v>
      </c>
      <c r="D13" s="3" t="s">
        <v>775</v>
      </c>
      <c r="E13" s="9" t="n">
        <v>45064</v>
      </c>
      <c r="F13" s="8" t="str">
        <f aca="false">HYPERLINK("https://mncourtfraud.com/file/MCRO_27-CR-21-1978_Returned Mail_2023-05-18_20240430075710.pdf","MCRO_27-CR-21-1978_Returned Mail_2023-05-18_20240430075710.pdf")</f>
        <v>MCRO_27-CR-21-1978_Returned Mail_2023-05-18_20240430075710.pdf</v>
      </c>
      <c r="G13" s="3" t="s">
        <v>1456</v>
      </c>
      <c r="H13" s="3" t="s">
        <v>1452</v>
      </c>
      <c r="I13" s="3" t="s">
        <v>1453</v>
      </c>
      <c r="J13" s="8" t="str">
        <f aca="false">HYPERLINK("https://mncourtfraud.com/file/79184e172406b6b27a0405baab264c1ddf92f2abe1189db35b339f72cacdfc60.jpg","79184e172406b6b27a0405baab264c1ddf92f2abe1189db35b339f72cacdfc60")</f>
        <v>79184e172406b6b27a0405baab264c1ddf92f2abe1189db35b339f72cacdfc60</v>
      </c>
      <c r="K13" s="1" t="s">
        <v>1454</v>
      </c>
    </row>
    <row r="14" customFormat="false" ht="18.7" hidden="false" customHeight="true" outlineLevel="0" collapsed="false">
      <c r="A14" s="1" t="n">
        <v>13</v>
      </c>
      <c r="B14" s="7" t="str">
        <f aca="false">HYPERLINK("https://mncourtfraud.com/file/ADN-32.zip","ADN-32.zip")</f>
        <v>ADN-32.zip</v>
      </c>
      <c r="C14" s="8" t="str">
        <f aca="false">HYPERLINK("https://mncourtfraud.com/file/27-CR-20-3244.pdf","27-CR-20-3244")</f>
        <v>27-CR-20-3244</v>
      </c>
      <c r="D14" s="3" t="s">
        <v>796</v>
      </c>
      <c r="E14" s="9" t="n">
        <v>45064</v>
      </c>
      <c r="F14" s="8" t="str">
        <f aca="false">HYPERLINK("https://mncourtfraud.com/file/MCRO_27-CR-20-3244_Returned Mail_2023-05-18_20240430085008.pdf","MCRO_27-CR-20-3244_Returned Mail_2023-05-18_20240430085008.pdf")</f>
        <v>MCRO_27-CR-20-3244_Returned Mail_2023-05-18_20240430085008.pdf</v>
      </c>
      <c r="G14" s="3" t="s">
        <v>1456</v>
      </c>
      <c r="H14" s="3" t="s">
        <v>1452</v>
      </c>
      <c r="I14" s="3" t="s">
        <v>1453</v>
      </c>
      <c r="J14" s="8" t="str">
        <f aca="false">HYPERLINK("https://mncourtfraud.com/file/79184e172406b6b27a0405baab264c1ddf92f2abe1189db35b339f72cacdfc60.jpg","79184e172406b6b27a0405baab264c1ddf92f2abe1189db35b339f72cacdfc60")</f>
        <v>79184e172406b6b27a0405baab264c1ddf92f2abe1189db35b339f72cacdfc60</v>
      </c>
      <c r="K14" s="1" t="s">
        <v>1454</v>
      </c>
    </row>
    <row r="15" customFormat="false" ht="18.7" hidden="false" customHeight="true" outlineLevel="0" collapsed="false">
      <c r="A15" s="1" t="n">
        <v>14</v>
      </c>
      <c r="E15" s="9"/>
    </row>
    <row r="16" customFormat="false" ht="18.7" hidden="false" customHeight="true" outlineLevel="0" collapsed="false">
      <c r="A16" s="1" t="n">
        <v>15</v>
      </c>
      <c r="B16" s="7" t="str">
        <f aca="false">HYPERLINK("https://mncourtfraud.com/file/ADN-33.zip","ADN-33.zip")</f>
        <v>ADN-33.zip</v>
      </c>
      <c r="C16" s="8" t="str">
        <f aca="false">HYPERLINK("https://mncourtfraud.com/file/27-CR-21-1978.pdf","27-CR-21-1978")</f>
        <v>27-CR-21-1978</v>
      </c>
      <c r="D16" s="3" t="s">
        <v>775</v>
      </c>
      <c r="E16" s="9" t="n">
        <v>45210</v>
      </c>
      <c r="F16" s="8" t="str">
        <f aca="false">HYPERLINK("https://mncourtfraud.com/file/MCRO_27-CR-21-1978_Returned Mail_2023-10-11_20240430075706.pdf","MCRO_27-CR-21-1978_Returned Mail_2023-10-11_20240430075706.pdf")</f>
        <v>MCRO_27-CR-21-1978_Returned Mail_2023-10-11_20240430075706.pdf</v>
      </c>
      <c r="G16" s="3" t="s">
        <v>1457</v>
      </c>
      <c r="H16" s="3" t="s">
        <v>1452</v>
      </c>
      <c r="I16" s="3" t="s">
        <v>1453</v>
      </c>
      <c r="J16" s="8" t="str">
        <f aca="false">HYPERLINK("https://mncourtfraud.com/file/90825652d6eff34856c80743e8a537ab9b3579645ede0ddc68faa48a68e36d1f.jpg","90825652d6eff34856c80743e8a537ab9b3579645ede0ddc68faa48a68e36d1f")</f>
        <v>90825652d6eff34856c80743e8a537ab9b3579645ede0ddc68faa48a68e36d1f</v>
      </c>
      <c r="K16" s="1" t="s">
        <v>1454</v>
      </c>
    </row>
    <row r="17" customFormat="false" ht="18.7" hidden="false" customHeight="true" outlineLevel="0" collapsed="false">
      <c r="A17" s="1" t="n">
        <v>16</v>
      </c>
      <c r="B17" s="7" t="str">
        <f aca="false">HYPERLINK("https://mncourtfraud.com/file/ADN-33.zip","ADN-33.zip")</f>
        <v>ADN-33.zip</v>
      </c>
      <c r="C17" s="8" t="str">
        <f aca="false">HYPERLINK("https://mncourtfraud.com/file/27-CR-22-20033.pdf","27-CR-22-20033")</f>
        <v>27-CR-22-20033</v>
      </c>
      <c r="D17" s="3" t="s">
        <v>775</v>
      </c>
      <c r="E17" s="9" t="n">
        <v>45210</v>
      </c>
      <c r="F17" s="8" t="str">
        <f aca="false">HYPERLINK("https://mncourtfraud.com/file/MCRO_27-CR-22-20033_Returned Mail_2023-10-11_20240429162646.pdf","MCRO_27-CR-22-20033_Returned Mail_2023-10-11_20240429162646.pdf")</f>
        <v>MCRO_27-CR-22-20033_Returned Mail_2023-10-11_20240429162646.pdf</v>
      </c>
      <c r="G17" s="3" t="s">
        <v>1457</v>
      </c>
      <c r="H17" s="3" t="s">
        <v>1452</v>
      </c>
      <c r="I17" s="3" t="s">
        <v>1453</v>
      </c>
      <c r="J17" s="8" t="str">
        <f aca="false">HYPERLINK("https://mncourtfraud.com/file/90825652d6eff34856c80743e8a537ab9b3579645ede0ddc68faa48a68e36d1f.jpg","90825652d6eff34856c80743e8a537ab9b3579645ede0ddc68faa48a68e36d1f")</f>
        <v>90825652d6eff34856c80743e8a537ab9b3579645ede0ddc68faa48a68e36d1f</v>
      </c>
      <c r="K17" s="1" t="s">
        <v>1454</v>
      </c>
    </row>
    <row r="18" customFormat="false" ht="18.7" hidden="false" customHeight="true" outlineLevel="0" collapsed="false">
      <c r="A18" s="1" t="n">
        <v>17</v>
      </c>
      <c r="B18" s="7" t="str">
        <f aca="false">HYPERLINK("https://mncourtfraud.com/file/ADN-33.zip","ADN-33.zip")</f>
        <v>ADN-33.zip</v>
      </c>
      <c r="C18" s="8" t="str">
        <f aca="false">HYPERLINK("https://mncourtfraud.com/file/27-CR-20-3244.pdf","27-CR-20-3244")</f>
        <v>27-CR-20-3244</v>
      </c>
      <c r="D18" s="3" t="s">
        <v>796</v>
      </c>
      <c r="E18" s="9" t="n">
        <v>45210</v>
      </c>
      <c r="F18" s="8" t="str">
        <f aca="false">HYPERLINK("https://mncourtfraud.com/file/MCRO_27-CR-20-3244_Returned Mail_2023-10-11_20240430085003.pdf","MCRO_27-CR-20-3244_Returned Mail_2023-10-11_20240430085003.pdf")</f>
        <v>MCRO_27-CR-20-3244_Returned Mail_2023-10-11_20240430085003.pdf</v>
      </c>
      <c r="G18" s="3" t="s">
        <v>1457</v>
      </c>
      <c r="H18" s="3" t="s">
        <v>1452</v>
      </c>
      <c r="I18" s="3" t="s">
        <v>1453</v>
      </c>
      <c r="J18" s="8" t="str">
        <f aca="false">HYPERLINK("https://mncourtfraud.com/file/90825652d6eff34856c80743e8a537ab9b3579645ede0ddc68faa48a68e36d1f.jpg","90825652d6eff34856c80743e8a537ab9b3579645ede0ddc68faa48a68e36d1f")</f>
        <v>90825652d6eff34856c80743e8a537ab9b3579645ede0ddc68faa48a68e36d1f</v>
      </c>
      <c r="K18" s="1" t="s">
        <v>1454</v>
      </c>
    </row>
    <row r="19" customFormat="false" ht="18.7" hidden="false" customHeight="true" outlineLevel="0" collapsed="false">
      <c r="A19" s="1" t="n">
        <v>18</v>
      </c>
      <c r="E19" s="9"/>
    </row>
    <row r="20" customFormat="false" ht="18.7" hidden="false" customHeight="true" outlineLevel="0" collapsed="false">
      <c r="A20" s="1" t="n">
        <v>19</v>
      </c>
      <c r="B20" s="7" t="str">
        <f aca="false">HYPERLINK("https://mncourtfraud.com/file/ADN-34.zip","ADN-34.zip")</f>
        <v>ADN-34.zip</v>
      </c>
      <c r="C20" s="8" t="str">
        <f aca="false">HYPERLINK("https://mncourtfraud.com/file/27-CR-21-1978.pdf","27-CR-21-1978")</f>
        <v>27-CR-21-1978</v>
      </c>
      <c r="D20" s="3" t="s">
        <v>775</v>
      </c>
      <c r="E20" s="9" t="n">
        <v>45244</v>
      </c>
      <c r="F20" s="8" t="str">
        <f aca="false">HYPERLINK("https://mncourtfraud.com/file/MCRO_27-CR-21-1978_Returned Mail_2023-11-14_20240430075701.pdf","MCRO_27-CR-21-1978_Returned Mail_2023-11-14_20240430075701.pdf")</f>
        <v>MCRO_27-CR-21-1978_Returned Mail_2023-11-14_20240430075701.pdf</v>
      </c>
      <c r="G20" s="3" t="s">
        <v>1458</v>
      </c>
      <c r="H20" s="3" t="s">
        <v>1452</v>
      </c>
      <c r="I20" s="3" t="s">
        <v>1453</v>
      </c>
      <c r="J20" s="8" t="str">
        <f aca="false">HYPERLINK("https://mncourtfraud.com/file/2c9c8d2443ff00fcef05be9951edf6962472e88d6a7f2e0127265ed4a2bb3b8a.jpg","2c9c8d2443ff00fcef05be9951edf6962472e88d6a7f2e0127265ed4a2bb3b8a")</f>
        <v>2c9c8d2443ff00fcef05be9951edf6962472e88d6a7f2e0127265ed4a2bb3b8a</v>
      </c>
      <c r="K20" s="1" t="s">
        <v>1454</v>
      </c>
    </row>
    <row r="21" customFormat="false" ht="18.7" hidden="false" customHeight="true" outlineLevel="0" collapsed="false">
      <c r="A21" s="1" t="n">
        <v>20</v>
      </c>
      <c r="B21" s="7" t="str">
        <f aca="false">HYPERLINK("https://mncourtfraud.com/file/ADN-34.zip","ADN-34.zip")</f>
        <v>ADN-34.zip</v>
      </c>
      <c r="C21" s="8" t="str">
        <f aca="false">HYPERLINK("https://mncourtfraud.com/file/27-CR-22-20033.pdf","27-CR-22-20033")</f>
        <v>27-CR-22-20033</v>
      </c>
      <c r="D21" s="3" t="s">
        <v>775</v>
      </c>
      <c r="E21" s="9" t="n">
        <v>45244</v>
      </c>
      <c r="F21" s="8" t="str">
        <f aca="false">HYPERLINK("https://mncourtfraud.com/file/MCRO_27-CR-22-20033_Returned Mail_2023-11-14_20240429162642.pdf","MCRO_27-CR-22-20033_Returned Mail_2023-11-14_20240429162642.pdf")</f>
        <v>MCRO_27-CR-22-20033_Returned Mail_2023-11-14_20240429162642.pdf</v>
      </c>
      <c r="G21" s="3" t="s">
        <v>1458</v>
      </c>
      <c r="H21" s="3" t="s">
        <v>1452</v>
      </c>
      <c r="I21" s="3" t="s">
        <v>1453</v>
      </c>
      <c r="J21" s="8" t="str">
        <f aca="false">HYPERLINK("https://mncourtfraud.com/file/2c9c8d2443ff00fcef05be9951edf6962472e88d6a7f2e0127265ed4a2bb3b8a.jpg","2c9c8d2443ff00fcef05be9951edf6962472e88d6a7f2e0127265ed4a2bb3b8a")</f>
        <v>2c9c8d2443ff00fcef05be9951edf6962472e88d6a7f2e0127265ed4a2bb3b8a</v>
      </c>
      <c r="K21" s="1" t="s">
        <v>1454</v>
      </c>
    </row>
    <row r="22" customFormat="false" ht="18.7" hidden="false" customHeight="true" outlineLevel="0" collapsed="false">
      <c r="A22" s="1" t="n">
        <v>21</v>
      </c>
      <c r="B22" s="7" t="str">
        <f aca="false">HYPERLINK("https://mncourtfraud.com/file/ADN-34.zip","ADN-34.zip")</f>
        <v>ADN-34.zip</v>
      </c>
      <c r="C22" s="8" t="str">
        <f aca="false">HYPERLINK("https://mncourtfraud.com/file/27-CR-20-3244.pdf","27-CR-20-3244")</f>
        <v>27-CR-20-3244</v>
      </c>
      <c r="D22" s="3" t="s">
        <v>796</v>
      </c>
      <c r="E22" s="9" t="n">
        <v>45244</v>
      </c>
      <c r="F22" s="8" t="str">
        <f aca="false">HYPERLINK("https://mncourtfraud.com/file/MCRO_27-CR-20-3244_Returned Mail_2023-11-14_20240430084959.pdf","MCRO_27-CR-20-3244_Returned Mail_2023-11-14_20240430084959.pdf")</f>
        <v>MCRO_27-CR-20-3244_Returned Mail_2023-11-14_20240430084959.pdf</v>
      </c>
      <c r="G22" s="3" t="s">
        <v>1458</v>
      </c>
      <c r="H22" s="3" t="s">
        <v>1452</v>
      </c>
      <c r="I22" s="3" t="s">
        <v>1453</v>
      </c>
      <c r="J22" s="8" t="str">
        <f aca="false">HYPERLINK("https://mncourtfraud.com/file/2c9c8d2443ff00fcef05be9951edf6962472e88d6a7f2e0127265ed4a2bb3b8a.jpg","2c9c8d2443ff00fcef05be9951edf6962472e88d6a7f2e0127265ed4a2bb3b8a")</f>
        <v>2c9c8d2443ff00fcef05be9951edf6962472e88d6a7f2e0127265ed4a2bb3b8a</v>
      </c>
      <c r="K22" s="1" t="s">
        <v>1454</v>
      </c>
    </row>
    <row r="23" customFormat="false" ht="18.7" hidden="false" customHeight="true" outlineLevel="0" collapsed="false">
      <c r="A23" s="1" t="n">
        <v>22</v>
      </c>
      <c r="E23" s="9"/>
    </row>
    <row r="24" customFormat="false" ht="18.7" hidden="false" customHeight="true" outlineLevel="0" collapsed="false">
      <c r="A24" s="1" t="n">
        <v>23</v>
      </c>
      <c r="B24" s="7" t="str">
        <f aca="false">HYPERLINK("https://mncourtfraud.com/file/ADN-35.zip","ADN-35.zip")</f>
        <v>ADN-35.zip</v>
      </c>
      <c r="C24" s="8" t="str">
        <f aca="false">HYPERLINK("https://mncourtfraud.com/file/27-CR-21-1977.pdf","27-CR-21-1977")</f>
        <v>27-CR-21-1977</v>
      </c>
      <c r="D24" s="3" t="s">
        <v>775</v>
      </c>
      <c r="E24" s="9" t="n">
        <v>44678</v>
      </c>
      <c r="F24" s="8" t="str">
        <f aca="false">HYPERLINK("https://mncourtfraud.com/file/MCRO_27-CR-21-1977_Returned Mail_2022-04-27_20240430075612.pdf","MCRO_27-CR-21-1977_Returned Mail_2022-04-27_20240430075612.pdf")</f>
        <v>MCRO_27-CR-21-1977_Returned Mail_2022-04-27_20240430075612.pdf</v>
      </c>
      <c r="G24" s="3" t="s">
        <v>1459</v>
      </c>
      <c r="H24" s="3" t="s">
        <v>1452</v>
      </c>
      <c r="I24" s="3" t="s">
        <v>1453</v>
      </c>
      <c r="J24" s="8" t="str">
        <f aca="false">HYPERLINK("https://mncourtfraud.com/file/56476cefdab67adb3f158c323d8c8b01b0530c83d9670fb9e973abfdb041181c.png","56476cefdab67adb3f158c323d8c8b01b0530c83d9670fb9e973abfdb041181c")</f>
        <v>56476cefdab67adb3f158c323d8c8b01b0530c83d9670fb9e973abfdb041181c</v>
      </c>
      <c r="K24" s="1" t="s">
        <v>1460</v>
      </c>
    </row>
    <row r="25" customFormat="false" ht="18.7" hidden="false" customHeight="true" outlineLevel="0" collapsed="false">
      <c r="A25" s="1" t="n">
        <v>24</v>
      </c>
      <c r="B25" s="7" t="str">
        <f aca="false">HYPERLINK("https://mncourtfraud.com/file/ADN-35.zip","ADN-35.zip")</f>
        <v>ADN-35.zip</v>
      </c>
      <c r="C25" s="8" t="str">
        <f aca="false">HYPERLINK("https://mncourtfraud.com/file/27-CR-21-1978.pdf","27-CR-21-1978")</f>
        <v>27-CR-21-1978</v>
      </c>
      <c r="D25" s="3" t="s">
        <v>775</v>
      </c>
      <c r="E25" s="9" t="n">
        <v>44678</v>
      </c>
      <c r="F25" s="8" t="str">
        <f aca="false">HYPERLINK("https://mncourtfraud.com/file/MCRO_27-CR-21-1978_Returned Mail_2022-04-27_20240430075723.pdf","MCRO_27-CR-21-1978_Returned Mail_2022-04-27_20240430075723.pdf")</f>
        <v>MCRO_27-CR-21-1978_Returned Mail_2022-04-27_20240430075723.pdf</v>
      </c>
      <c r="G25" s="3" t="s">
        <v>1459</v>
      </c>
      <c r="H25" s="3" t="s">
        <v>1452</v>
      </c>
      <c r="I25" s="3" t="s">
        <v>1453</v>
      </c>
      <c r="J25" s="8" t="str">
        <f aca="false">HYPERLINK("https://mncourtfraud.com/file/56476cefdab67adb3f158c323d8c8b01b0530c83d9670fb9e973abfdb041181c.png","56476cefdab67adb3f158c323d8c8b01b0530c83d9670fb9e973abfdb041181c")</f>
        <v>56476cefdab67adb3f158c323d8c8b01b0530c83d9670fb9e973abfdb041181c</v>
      </c>
      <c r="K25" s="1" t="s">
        <v>1460</v>
      </c>
    </row>
    <row r="26" customFormat="false" ht="18.7" hidden="false" customHeight="true" outlineLevel="0" collapsed="false">
      <c r="A26" s="1" t="n">
        <v>25</v>
      </c>
      <c r="B26" s="7" t="str">
        <f aca="false">HYPERLINK("https://mncourtfraud.com/file/ADN-35.zip","ADN-35.zip")</f>
        <v>ADN-35.zip</v>
      </c>
      <c r="C26" s="8" t="str">
        <f aca="false">HYPERLINK("https://mncourtfraud.com/file/27-CR-20-3244.pdf","27-CR-20-3244")</f>
        <v>27-CR-20-3244</v>
      </c>
      <c r="D26" s="3" t="s">
        <v>796</v>
      </c>
      <c r="E26" s="9" t="n">
        <v>44678</v>
      </c>
      <c r="F26" s="8" t="str">
        <f aca="false">HYPERLINK("https://mncourtfraud.com/file/MCRO_27-CR-20-3244_Returned Mail_2022-04-27_20240430085019.pdf","MCRO_27-CR-20-3244_Returned Mail_2022-04-27_20240430085019.pdf")</f>
        <v>MCRO_27-CR-20-3244_Returned Mail_2022-04-27_20240430085019.pdf</v>
      </c>
      <c r="G26" s="3" t="s">
        <v>1459</v>
      </c>
      <c r="H26" s="3" t="s">
        <v>1452</v>
      </c>
      <c r="I26" s="3" t="s">
        <v>1453</v>
      </c>
      <c r="J26" s="8" t="str">
        <f aca="false">HYPERLINK("https://mncourtfraud.com/file/56476cefdab67adb3f158c323d8c8b01b0530c83d9670fb9e973abfdb041181c.png","56476cefdab67adb3f158c323d8c8b01b0530c83d9670fb9e973abfdb041181c")</f>
        <v>56476cefdab67adb3f158c323d8c8b01b0530c83d9670fb9e973abfdb041181c</v>
      </c>
      <c r="K26" s="1" t="s">
        <v>1460</v>
      </c>
    </row>
    <row r="27" customFormat="false" ht="18.7" hidden="false" customHeight="true" outlineLevel="0" collapsed="false">
      <c r="A27" s="1" t="n">
        <v>26</v>
      </c>
      <c r="E27" s="9"/>
    </row>
    <row r="28" customFormat="false" ht="18.7" hidden="false" customHeight="true" outlineLevel="0" collapsed="false">
      <c r="A28" s="1" t="n">
        <v>27</v>
      </c>
      <c r="B28" s="7" t="str">
        <f aca="false">HYPERLINK("https://mncourtfraud.com/file/ADN-36.zip","ADN-36.zip")</f>
        <v>ADN-36.zip</v>
      </c>
      <c r="C28" s="8" t="str">
        <f aca="false">HYPERLINK("https://mncourtfraud.com/file/27-CR-21-1978.pdf","27-CR-21-1978")</f>
        <v>27-CR-21-1978</v>
      </c>
      <c r="D28" s="3" t="s">
        <v>775</v>
      </c>
      <c r="E28" s="9" t="n">
        <v>44813</v>
      </c>
      <c r="F28" s="8" t="str">
        <f aca="false">HYPERLINK("https://mncourtfraud.com/file/MCRO_27-CR-21-1978_Returned Mail_2022-09-09_20240430075719.pdf","MCRO_27-CR-21-1978_Returned Mail_2022-09-09_20240430075719.pdf")</f>
        <v>MCRO_27-CR-21-1978_Returned Mail_2022-09-09_20240430075719.pdf</v>
      </c>
      <c r="G28" s="3" t="s">
        <v>1461</v>
      </c>
      <c r="H28" s="3" t="s">
        <v>1452</v>
      </c>
      <c r="I28" s="3" t="s">
        <v>1453</v>
      </c>
      <c r="J28" s="8" t="str">
        <f aca="false">HYPERLINK("https://mncourtfraud.com/file/6e3a1ab7aca7782916d3dbd50b1aa3f353665a7bb1fa0cc70fb1372a914308ea.jpg","6e3a1ab7aca7782916d3dbd50b1aa3f353665a7bb1fa0cc70fb1372a914308ea")</f>
        <v>6e3a1ab7aca7782916d3dbd50b1aa3f353665a7bb1fa0cc70fb1372a914308ea</v>
      </c>
      <c r="K28" s="1" t="s">
        <v>1454</v>
      </c>
    </row>
    <row r="29" customFormat="false" ht="18.7" hidden="false" customHeight="true" outlineLevel="0" collapsed="false">
      <c r="A29" s="1" t="n">
        <v>28</v>
      </c>
      <c r="B29" s="7" t="str">
        <f aca="false">HYPERLINK("https://mncourtfraud.com/file/ADN-36.zip","ADN-36.zip")</f>
        <v>ADN-36.zip</v>
      </c>
      <c r="C29" s="8" t="str">
        <f aca="false">HYPERLINK("https://mncourtfraud.com/file/27-CR-20-3244.pdf","27-CR-20-3244")</f>
        <v>27-CR-20-3244</v>
      </c>
      <c r="D29" s="3" t="s">
        <v>796</v>
      </c>
      <c r="E29" s="9" t="n">
        <v>44813</v>
      </c>
      <c r="F29" s="8" t="str">
        <f aca="false">HYPERLINK("https://mncourtfraud.com/file/MCRO_27-CR-20-3244_Returned Mail_2022-09-09_20240430085015.pdf","MCRO_27-CR-20-3244_Returned Mail_2022-09-09_20240430085015.pdf")</f>
        <v>MCRO_27-CR-20-3244_Returned Mail_2022-09-09_20240430085015.pdf</v>
      </c>
      <c r="G29" s="3" t="s">
        <v>1461</v>
      </c>
      <c r="H29" s="3" t="s">
        <v>1452</v>
      </c>
      <c r="I29" s="3" t="s">
        <v>1453</v>
      </c>
      <c r="J29" s="8" t="str">
        <f aca="false">HYPERLINK("https://mncourtfraud.com/file/6e3a1ab7aca7782916d3dbd50b1aa3f353665a7bb1fa0cc70fb1372a914308ea.jpg","6e3a1ab7aca7782916d3dbd50b1aa3f353665a7bb1fa0cc70fb1372a914308ea")</f>
        <v>6e3a1ab7aca7782916d3dbd50b1aa3f353665a7bb1fa0cc70fb1372a914308ea</v>
      </c>
      <c r="K29" s="1" t="s">
        <v>1454</v>
      </c>
    </row>
    <row r="30" customFormat="false" ht="18.7" hidden="false" customHeight="true" outlineLevel="0" collapsed="false">
      <c r="A30" s="1" t="n">
        <v>29</v>
      </c>
      <c r="E30" s="9"/>
    </row>
    <row r="31" customFormat="false" ht="18.7" hidden="false" customHeight="true" outlineLevel="0" collapsed="false">
      <c r="A31" s="1" t="n">
        <v>30</v>
      </c>
      <c r="B31" s="7" t="str">
        <f aca="false">HYPERLINK("https://mncourtfraud.com/file/ADN-37.zip","ADN-37.zip")</f>
        <v>ADN-37.zip</v>
      </c>
      <c r="C31" s="8" t="str">
        <f aca="false">HYPERLINK("https://mncourtfraud.com/file/27-CR-21-1977.pdf","27-CR-21-1977")</f>
        <v>27-CR-21-1977</v>
      </c>
      <c r="D31" s="3" t="s">
        <v>775</v>
      </c>
      <c r="E31" s="9" t="n">
        <v>44866</v>
      </c>
      <c r="F31" s="8" t="str">
        <f aca="false">HYPERLINK("https://mncourtfraud.com/file/MCRO_27-CR-21-1977_Returned Mail_2022-11-01_20240430075603.pdf","MCRO_27-CR-21-1977_Returned Mail_2022-11-01_20240430075603.pdf")</f>
        <v>MCRO_27-CR-21-1977_Returned Mail_2022-11-01_20240430075603.pdf</v>
      </c>
      <c r="G31" s="3" t="s">
        <v>1462</v>
      </c>
      <c r="H31" s="3" t="s">
        <v>1452</v>
      </c>
      <c r="I31" s="3" t="s">
        <v>1453</v>
      </c>
      <c r="J31" s="8" t="str">
        <f aca="false">HYPERLINK("https://mncourtfraud.com/file/859b5ee5182f83d9cd32e6ddbaf24ffc4f6cdf7485437fbc735d0cd17e4a878b.jpg","859b5ee5182f83d9cd32e6ddbaf24ffc4f6cdf7485437fbc735d0cd17e4a878b")</f>
        <v>859b5ee5182f83d9cd32e6ddbaf24ffc4f6cdf7485437fbc735d0cd17e4a878b</v>
      </c>
      <c r="K31" s="1" t="s">
        <v>1454</v>
      </c>
    </row>
    <row r="32" customFormat="false" ht="18.7" hidden="false" customHeight="true" outlineLevel="0" collapsed="false">
      <c r="A32" s="1" t="n">
        <v>31</v>
      </c>
      <c r="B32" s="7" t="str">
        <f aca="false">HYPERLINK("https://mncourtfraud.com/file/ADN-37.zip","ADN-37.zip")</f>
        <v>ADN-37.zip</v>
      </c>
      <c r="C32" s="8" t="str">
        <f aca="false">HYPERLINK("https://mncourtfraud.com/file/27-CR-21-1978.pdf","27-CR-21-1978")</f>
        <v>27-CR-21-1978</v>
      </c>
      <c r="D32" s="3" t="s">
        <v>775</v>
      </c>
      <c r="E32" s="9" t="n">
        <v>44866</v>
      </c>
      <c r="F32" s="8" t="str">
        <f aca="false">HYPERLINK("https://mncourtfraud.com/file/MCRO_27-CR-21-1978_Returned Mail_2022-11-01_20240430075714.pdf","MCRO_27-CR-21-1978_Returned Mail_2022-11-01_20240430075714.pdf")</f>
        <v>MCRO_27-CR-21-1978_Returned Mail_2022-11-01_20240430075714.pdf</v>
      </c>
      <c r="G32" s="3" t="s">
        <v>1462</v>
      </c>
      <c r="H32" s="3" t="s">
        <v>1452</v>
      </c>
      <c r="I32" s="3" t="s">
        <v>1453</v>
      </c>
      <c r="J32" s="8" t="str">
        <f aca="false">HYPERLINK("https://mncourtfraud.com/file/859b5ee5182f83d9cd32e6ddbaf24ffc4f6cdf7485437fbc735d0cd17e4a878b.jpg","859b5ee5182f83d9cd32e6ddbaf24ffc4f6cdf7485437fbc735d0cd17e4a878b")</f>
        <v>859b5ee5182f83d9cd32e6ddbaf24ffc4f6cdf7485437fbc735d0cd17e4a878b</v>
      </c>
      <c r="K32" s="1" t="s">
        <v>1454</v>
      </c>
    </row>
    <row r="33" customFormat="false" ht="18.7" hidden="false" customHeight="true" outlineLevel="0" collapsed="false">
      <c r="A33" s="1" t="n">
        <v>32</v>
      </c>
      <c r="E33" s="9"/>
    </row>
    <row r="34" customFormat="false" ht="18.7" hidden="false" customHeight="true" outlineLevel="0" collapsed="false">
      <c r="A34" s="1" t="n">
        <v>33</v>
      </c>
      <c r="B34" s="7" t="str">
        <f aca="false">HYPERLINK("https://mncourtfraud.com/file/AIO-37.zip","AIO-37.zip")</f>
        <v>AIO-37.zip</v>
      </c>
      <c r="C34" s="8" t="str">
        <f aca="false">HYPERLINK("https://mncourtfraud.com/file/27-CR-19-17539.pdf","27-CR-19-17539")</f>
        <v>27-CR-19-17539</v>
      </c>
      <c r="D34" s="3" t="s">
        <v>586</v>
      </c>
      <c r="E34" s="9" t="n">
        <v>44824</v>
      </c>
      <c r="F34" s="8" t="str">
        <f aca="false">HYPERLINK("https://mncourtfraud.com/file/MCRO_27-CR-19-17539_Returned Mail_2022-09-20_20240430091938.pdf","MCRO_27-CR-19-17539_Returned Mail_2022-09-20_20240430091938.pdf")</f>
        <v>MCRO_27-CR-19-17539_Returned Mail_2022-09-20_20240430091938.pdf</v>
      </c>
      <c r="G34" s="3" t="s">
        <v>1463</v>
      </c>
      <c r="H34" s="3" t="s">
        <v>1452</v>
      </c>
      <c r="I34" s="3" t="s">
        <v>1453</v>
      </c>
      <c r="J34" s="8" t="str">
        <f aca="false">HYPERLINK("https://mncourtfraud.com/file/84422f26b4f3a13b3a474d2fe4379b3c249a25903103774d159a4f77e67e1753.jpg","84422f26b4f3a13b3a474d2fe4379b3c249a25903103774d159a4f77e67e1753")</f>
        <v>84422f26b4f3a13b3a474d2fe4379b3c249a25903103774d159a4f77e67e1753</v>
      </c>
      <c r="K34" s="1" t="s">
        <v>1454</v>
      </c>
    </row>
    <row r="35" customFormat="false" ht="18.7" hidden="false" customHeight="true" outlineLevel="0" collapsed="false">
      <c r="A35" s="1" t="n">
        <v>34</v>
      </c>
      <c r="B35" s="7" t="str">
        <f aca="false">HYPERLINK("https://mncourtfraud.com/file/AIO-37.zip","AIO-37.zip")</f>
        <v>AIO-37.zip</v>
      </c>
      <c r="C35" s="8" t="str">
        <f aca="false">HYPERLINK("https://mncourtfraud.com/file/27-CR-19-1916.pdf","27-CR-19-1916")</f>
        <v>27-CR-19-1916</v>
      </c>
      <c r="D35" s="3" t="s">
        <v>586</v>
      </c>
      <c r="E35" s="9" t="n">
        <v>44824</v>
      </c>
      <c r="F35" s="8" t="str">
        <f aca="false">HYPERLINK("https://mncourtfraud.com/file/MCRO_27-CR-19-1916_Returned Mail_2022-09-20_20240430091219.pdf","MCRO_27-CR-19-1916_Returned Mail_2022-09-20_20240430091219.pdf")</f>
        <v>MCRO_27-CR-19-1916_Returned Mail_2022-09-20_20240430091219.pdf</v>
      </c>
      <c r="G35" s="3" t="s">
        <v>1463</v>
      </c>
      <c r="H35" s="3" t="s">
        <v>1452</v>
      </c>
      <c r="I35" s="3" t="s">
        <v>1453</v>
      </c>
      <c r="J35" s="8" t="str">
        <f aca="false">HYPERLINK("https://mncourtfraud.com/file/84422f26b4f3a13b3a474d2fe4379b3c249a25903103774d159a4f77e67e1753.jpg","84422f26b4f3a13b3a474d2fe4379b3c249a25903103774d159a4f77e67e1753")</f>
        <v>84422f26b4f3a13b3a474d2fe4379b3c249a25903103774d159a4f77e67e1753</v>
      </c>
      <c r="K35" s="1" t="s">
        <v>1454</v>
      </c>
    </row>
    <row r="36" customFormat="false" ht="18.7" hidden="false" customHeight="true" outlineLevel="0" collapsed="false">
      <c r="A36" s="1" t="n">
        <v>35</v>
      </c>
      <c r="B36" s="7" t="str">
        <f aca="false">HYPERLINK("https://mncourtfraud.com/file/AIO-37.zip","AIO-37.zip")</f>
        <v>AIO-37.zip</v>
      </c>
      <c r="C36" s="8" t="str">
        <f aca="false">HYPERLINK("https://mncourtfraud.com/file/27-CR-19-3539.pdf","27-CR-19-3539")</f>
        <v>27-CR-19-3539</v>
      </c>
      <c r="D36" s="3" t="s">
        <v>586</v>
      </c>
      <c r="E36" s="9" t="n">
        <v>44824</v>
      </c>
      <c r="F36" s="8" t="str">
        <f aca="false">HYPERLINK("https://mncourtfraud.com/file/MCRO_27-CR-19-3539_Returned Mail_2022-09-20_20240430091331.pdf","MCRO_27-CR-19-3539_Returned Mail_2022-09-20_20240430091331.pdf")</f>
        <v>MCRO_27-CR-19-3539_Returned Mail_2022-09-20_20240430091331.pdf</v>
      </c>
      <c r="G36" s="3" t="s">
        <v>1463</v>
      </c>
      <c r="H36" s="3" t="s">
        <v>1452</v>
      </c>
      <c r="I36" s="3" t="s">
        <v>1453</v>
      </c>
      <c r="J36" s="8" t="str">
        <f aca="false">HYPERLINK("https://mncourtfraud.com/file/84422f26b4f3a13b3a474d2fe4379b3c249a25903103774d159a4f77e67e1753.jpg","84422f26b4f3a13b3a474d2fe4379b3c249a25903103774d159a4f77e67e1753")</f>
        <v>84422f26b4f3a13b3a474d2fe4379b3c249a25903103774d159a4f77e67e1753</v>
      </c>
      <c r="K36" s="1" t="s">
        <v>1454</v>
      </c>
    </row>
    <row r="37" customFormat="false" ht="18.7" hidden="false" customHeight="true" outlineLevel="0" collapsed="false">
      <c r="A37" s="1" t="n">
        <v>36</v>
      </c>
      <c r="B37" s="7" t="str">
        <f aca="false">HYPERLINK("https://mncourtfraud.com/file/AIO-37.zip","AIO-37.zip")</f>
        <v>AIO-37.zip</v>
      </c>
      <c r="C37" s="8" t="str">
        <f aca="false">HYPERLINK("https://mncourtfraud.com/file/27-CR-21-22058.pdf","27-CR-21-22058")</f>
        <v>27-CR-21-22058</v>
      </c>
      <c r="D37" s="3" t="s">
        <v>586</v>
      </c>
      <c r="E37" s="9" t="n">
        <v>44824</v>
      </c>
      <c r="F37" s="8" t="str">
        <f aca="false">HYPERLINK("https://mncourtfraud.com/file/MCRO_27-CR-21-22058_Returned Mail_2022-09-20_20240430083556.pdf","MCRO_27-CR-21-22058_Returned Mail_2022-09-20_20240430083556.pdf")</f>
        <v>MCRO_27-CR-21-22058_Returned Mail_2022-09-20_20240430083556.pdf</v>
      </c>
      <c r="G37" s="3" t="s">
        <v>1463</v>
      </c>
      <c r="H37" s="3" t="s">
        <v>1452</v>
      </c>
      <c r="I37" s="3" t="s">
        <v>1453</v>
      </c>
      <c r="J37" s="8" t="str">
        <f aca="false">HYPERLINK("https://mncourtfraud.com/file/84422f26b4f3a13b3a474d2fe4379b3c249a25903103774d159a4f77e67e1753.jpg","84422f26b4f3a13b3a474d2fe4379b3c249a25903103774d159a4f77e67e1753")</f>
        <v>84422f26b4f3a13b3a474d2fe4379b3c249a25903103774d159a4f77e67e1753</v>
      </c>
      <c r="K37" s="1" t="s">
        <v>1454</v>
      </c>
    </row>
    <row r="38" customFormat="false" ht="18.7" hidden="false" customHeight="true" outlineLevel="0" collapsed="false">
      <c r="A38" s="1" t="n">
        <v>37</v>
      </c>
      <c r="E38" s="9"/>
    </row>
    <row r="39" customFormat="false" ht="18.7" hidden="false" customHeight="true" outlineLevel="0" collapsed="false">
      <c r="A39" s="1" t="n">
        <v>38</v>
      </c>
      <c r="B39" s="7" t="str">
        <f aca="false">HYPERLINK("https://mncourtfraud.com/file/BLC-1.zip","BLC-1.zip")</f>
        <v>BLC-1.zip</v>
      </c>
      <c r="C39" s="8" t="str">
        <f aca="false">HYPERLINK("https://mncourtfraud.com/file/27-CR-21-23456.pdf","27-CR-21-23456")</f>
        <v>27-CR-21-23456</v>
      </c>
      <c r="D39" s="3" t="s">
        <v>1464</v>
      </c>
      <c r="E39" s="9" t="n">
        <v>45384</v>
      </c>
      <c r="F39" s="8" t="str">
        <f aca="false">HYPERLINK("https://mncourtfraud.com/file/MCRO_27-CR-21-23456_Returned Mail_2024-04-02_20240430084301.pdf","MCRO_27-CR-21-23456_Returned Mail_2024-04-02_20240430084301.pdf")</f>
        <v>MCRO_27-CR-21-23456_Returned Mail_2024-04-02_20240430084301.pdf</v>
      </c>
      <c r="G39" s="3" t="s">
        <v>1465</v>
      </c>
      <c r="H39" s="3" t="s">
        <v>1452</v>
      </c>
      <c r="I39" s="3" t="s">
        <v>1453</v>
      </c>
      <c r="J39" s="8" t="str">
        <f aca="false">HYPERLINK("https://mncourtfraud.com/file/39984038878257abec9cfa8055e700c9fa5d6dbe9693b5c34469770d814f4907.jpg","39984038878257abec9cfa8055e700c9fa5d6dbe9693b5c34469770d814f4907")</f>
        <v>39984038878257abec9cfa8055e700c9fa5d6dbe9693b5c34469770d814f4907</v>
      </c>
      <c r="K39" s="1" t="s">
        <v>1454</v>
      </c>
    </row>
    <row r="40" customFormat="false" ht="18.7" hidden="false" customHeight="true" outlineLevel="0" collapsed="false">
      <c r="A40" s="1" t="n">
        <v>39</v>
      </c>
      <c r="B40" s="7" t="str">
        <f aca="false">HYPERLINK("https://mncourtfraud.com/file/BLC-1.zip","BLC-1.zip")</f>
        <v>BLC-1.zip</v>
      </c>
      <c r="C40" s="8" t="str">
        <f aca="false">HYPERLINK("https://mncourtfraud.com/file/27-CR-22-15550.pdf","27-CR-22-15550")</f>
        <v>27-CR-22-15550</v>
      </c>
      <c r="D40" s="3" t="s">
        <v>1464</v>
      </c>
      <c r="E40" s="9" t="n">
        <v>45384</v>
      </c>
      <c r="F40" s="8" t="str">
        <f aca="false">HYPERLINK("https://mncourtfraud.com/file/MCRO_27-CR-22-15550_Returned Mail_2024-04-02_20240429161903.pdf","MCRO_27-CR-22-15550_Returned Mail_2024-04-02_20240429161903.pdf")</f>
        <v>MCRO_27-CR-22-15550_Returned Mail_2024-04-02_20240429161903.pdf</v>
      </c>
      <c r="G40" s="3" t="s">
        <v>1465</v>
      </c>
      <c r="H40" s="3" t="s">
        <v>1452</v>
      </c>
      <c r="I40" s="3" t="s">
        <v>1453</v>
      </c>
      <c r="J40" s="8" t="str">
        <f aca="false">HYPERLINK("https://mncourtfraud.com/file/39984038878257abec9cfa8055e700c9fa5d6dbe9693b5c34469770d814f4907.jpg","39984038878257abec9cfa8055e700c9fa5d6dbe9693b5c34469770d814f4907")</f>
        <v>39984038878257abec9cfa8055e700c9fa5d6dbe9693b5c34469770d814f4907</v>
      </c>
      <c r="K40" s="1" t="s">
        <v>1454</v>
      </c>
    </row>
    <row r="41" customFormat="false" ht="18.7" hidden="false" customHeight="true" outlineLevel="0" collapsed="false">
      <c r="A41" s="1" t="n">
        <v>40</v>
      </c>
      <c r="E41" s="9"/>
    </row>
    <row r="42" customFormat="false" ht="18.7" hidden="false" customHeight="true" outlineLevel="0" collapsed="false">
      <c r="A42" s="1" t="n">
        <v>41</v>
      </c>
      <c r="B42" s="7" t="str">
        <f aca="false">HYPERLINK("https://mncourtfraud.com/file/ILK-1.zip","ILK-1.zip")</f>
        <v>ILK-1.zip</v>
      </c>
      <c r="C42" s="8" t="str">
        <f aca="false">HYPERLINK("https://mncourtfraud.com/file/27-CR-21-20529.pdf","27-CR-21-20529")</f>
        <v>27-CR-21-20529</v>
      </c>
      <c r="D42" s="3" t="s">
        <v>1466</v>
      </c>
      <c r="E42" s="9" t="n">
        <v>44701</v>
      </c>
      <c r="F42" s="8" t="str">
        <f aca="false">HYPERLINK("https://mncourtfraud.com/file/MCRO_27-CR-21-20529_Returned Mail_2022-05-20_20240430083159.pdf","MCRO_27-CR-21-20529_Returned Mail_2022-05-20_20240430083159.pdf")</f>
        <v>MCRO_27-CR-21-20529_Returned Mail_2022-05-20_20240430083159.pdf</v>
      </c>
      <c r="G42" s="3" t="s">
        <v>1467</v>
      </c>
      <c r="H42" s="3" t="s">
        <v>1452</v>
      </c>
      <c r="I42" s="3" t="s">
        <v>1453</v>
      </c>
      <c r="J42" s="8" t="str">
        <f aca="false">HYPERLINK("https://mncourtfraud.com/file/7412d58a8b0f510333d59dd2cc2fff9316d2ada1527bb9094e15acdb41c29980.png","7412d58a8b0f510333d59dd2cc2fff9316d2ada1527bb9094e15acdb41c29980")</f>
        <v>7412d58a8b0f510333d59dd2cc2fff9316d2ada1527bb9094e15acdb41c29980</v>
      </c>
      <c r="K42" s="1" t="s">
        <v>1460</v>
      </c>
    </row>
    <row r="43" customFormat="false" ht="18.7" hidden="false" customHeight="true" outlineLevel="0" collapsed="false">
      <c r="A43" s="1" t="n">
        <v>42</v>
      </c>
      <c r="B43" s="7" t="str">
        <f aca="false">HYPERLINK("https://mncourtfraud.com/file/ILK-1.zip","ILK-1.zip")</f>
        <v>ILK-1.zip</v>
      </c>
      <c r="C43" s="8" t="str">
        <f aca="false">HYPERLINK("https://mncourtfraud.com/file/27-CR-22-5532.pdf","27-CR-22-5532")</f>
        <v>27-CR-22-5532</v>
      </c>
      <c r="D43" s="3" t="s">
        <v>1468</v>
      </c>
      <c r="E43" s="9" t="n">
        <v>44701</v>
      </c>
      <c r="F43" s="8" t="str">
        <f aca="false">HYPERLINK("https://mncourtfraud.com/file/MCRO_27-CR-22-5532_Returned Mail_2022-05-20_20240429040412.pdf","MCRO_27-CR-22-5532_Returned Mail_2022-05-20_20240429040412.pdf")</f>
        <v>MCRO_27-CR-22-5532_Returned Mail_2022-05-20_20240429040412.pdf</v>
      </c>
      <c r="G43" s="3" t="s">
        <v>1467</v>
      </c>
      <c r="H43" s="3" t="s">
        <v>1452</v>
      </c>
      <c r="I43" s="3" t="s">
        <v>1453</v>
      </c>
      <c r="J43" s="8" t="str">
        <f aca="false">HYPERLINK("https://mncourtfraud.com/file/7412d58a8b0f510333d59dd2cc2fff9316d2ada1527bb9094e15acdb41c29980.png","7412d58a8b0f510333d59dd2cc2fff9316d2ada1527bb9094e15acdb41c29980")</f>
        <v>7412d58a8b0f510333d59dd2cc2fff9316d2ada1527bb9094e15acdb41c29980</v>
      </c>
      <c r="K43" s="1" t="s">
        <v>1460</v>
      </c>
    </row>
    <row r="44" customFormat="false" ht="18.7" hidden="false" customHeight="true" outlineLevel="0" collapsed="false">
      <c r="A44" s="1" t="n">
        <v>43</v>
      </c>
      <c r="B44" s="7" t="str">
        <f aca="false">HYPERLINK("https://mncourtfraud.com/file/ILK-1.zip","ILK-1.zip")</f>
        <v>ILK-1.zip</v>
      </c>
      <c r="C44" s="8" t="str">
        <f aca="false">HYPERLINK("https://mncourtfraud.com/file/27-CR-22-7953.pdf","27-CR-22-7953")</f>
        <v>27-CR-22-7953</v>
      </c>
      <c r="D44" s="3" t="s">
        <v>1466</v>
      </c>
      <c r="E44" s="9" t="n">
        <v>44701</v>
      </c>
      <c r="F44" s="8" t="str">
        <f aca="false">HYPERLINK("https://mncourtfraud.com/file/MCRO_27-CR-22-7953_Returned Mail_2022-05-20_20240429040644.pdf","MCRO_27-CR-22-7953_Returned Mail_2022-05-20_20240429040644.pdf")</f>
        <v>MCRO_27-CR-22-7953_Returned Mail_2022-05-20_20240429040644.pdf</v>
      </c>
      <c r="G44" s="3" t="s">
        <v>1467</v>
      </c>
      <c r="H44" s="3" t="s">
        <v>1452</v>
      </c>
      <c r="I44" s="3" t="s">
        <v>1453</v>
      </c>
      <c r="J44" s="8" t="str">
        <f aca="false">HYPERLINK("https://mncourtfraud.com/file/7412d58a8b0f510333d59dd2cc2fff9316d2ada1527bb9094e15acdb41c29980.png","7412d58a8b0f510333d59dd2cc2fff9316d2ada1527bb9094e15acdb41c29980")</f>
        <v>7412d58a8b0f510333d59dd2cc2fff9316d2ada1527bb9094e15acdb41c29980</v>
      </c>
      <c r="K44" s="1" t="s">
        <v>1460</v>
      </c>
    </row>
    <row r="45" customFormat="false" ht="18.7" hidden="false" customHeight="true" outlineLevel="0" collapsed="false">
      <c r="A45" s="1" t="n">
        <v>44</v>
      </c>
      <c r="E45" s="9"/>
    </row>
    <row r="46" customFormat="false" ht="18.7" hidden="false" customHeight="true" outlineLevel="0" collapsed="false">
      <c r="A46" s="1" t="n">
        <v>45</v>
      </c>
      <c r="B46" s="7" t="str">
        <f aca="false">HYPERLINK("https://mncourtfraud.com/file/JMJ-10.zip","JMJ-10.zip")</f>
        <v>JMJ-10.zip</v>
      </c>
      <c r="C46" s="8" t="str">
        <f aca="false">HYPERLINK("https://mncourtfraud.com/file/27-CR-19-28883.pdf","27-CR-19-28883")</f>
        <v>27-CR-19-28883</v>
      </c>
      <c r="D46" s="3" t="s">
        <v>948</v>
      </c>
      <c r="E46" s="9" t="n">
        <v>44663</v>
      </c>
      <c r="F46" s="8" t="str">
        <f aca="false">HYPERLINK("https://mncourtfraud.com/file/MCRO_27-CR-19-28883_Returned Mail_2022-04-12_20240430092353.pdf","MCRO_27-CR-19-28883_Returned Mail_2022-04-12_20240430092353.pdf")</f>
        <v>MCRO_27-CR-19-28883_Returned Mail_2022-04-12_20240430092353.pdf</v>
      </c>
      <c r="G46" s="3" t="s">
        <v>1469</v>
      </c>
      <c r="H46" s="3" t="s">
        <v>1452</v>
      </c>
      <c r="I46" s="3" t="s">
        <v>1453</v>
      </c>
      <c r="J46" s="8" t="str">
        <f aca="false">HYPERLINK("https://mncourtfraud.com/file/9a3275829cd3fb3473d78a5d25e712759b55e16d6c70c4dbaf89d7b8455bc98a.png","9a3275829cd3fb3473d78a5d25e712759b55e16d6c70c4dbaf89d7b8455bc98a")</f>
        <v>9a3275829cd3fb3473d78a5d25e712759b55e16d6c70c4dbaf89d7b8455bc98a</v>
      </c>
      <c r="K46" s="1" t="s">
        <v>1460</v>
      </c>
    </row>
    <row r="47" customFormat="false" ht="18.7" hidden="false" customHeight="true" outlineLevel="0" collapsed="false">
      <c r="A47" s="1" t="n">
        <v>46</v>
      </c>
      <c r="B47" s="7" t="str">
        <f aca="false">HYPERLINK("https://mncourtfraud.com/file/JMJ-10.zip","JMJ-10.zip")</f>
        <v>JMJ-10.zip</v>
      </c>
      <c r="C47" s="8" t="str">
        <f aca="false">HYPERLINK("https://mncourtfraud.com/file/27-CR-21-13795.pdf","27-CR-21-13795")</f>
        <v>27-CR-21-13795</v>
      </c>
      <c r="D47" s="3" t="s">
        <v>948</v>
      </c>
      <c r="E47" s="9" t="n">
        <v>44663</v>
      </c>
      <c r="F47" s="8" t="str">
        <f aca="false">HYPERLINK("https://mncourtfraud.com/file/MCRO_27-CR-21-13795_Returned Mail_2022-04-12_20240430082438.pdf","MCRO_27-CR-21-13795_Returned Mail_2022-04-12_20240430082438.pdf")</f>
        <v>MCRO_27-CR-21-13795_Returned Mail_2022-04-12_20240430082438.pdf</v>
      </c>
      <c r="G47" s="3" t="s">
        <v>1469</v>
      </c>
      <c r="H47" s="3" t="s">
        <v>1452</v>
      </c>
      <c r="I47" s="3" t="s">
        <v>1453</v>
      </c>
      <c r="J47" s="8" t="str">
        <f aca="false">HYPERLINK("https://mncourtfraud.com/file/9a3275829cd3fb3473d78a5d25e712759b55e16d6c70c4dbaf89d7b8455bc98a.png","9a3275829cd3fb3473d78a5d25e712759b55e16d6c70c4dbaf89d7b8455bc98a")</f>
        <v>9a3275829cd3fb3473d78a5d25e712759b55e16d6c70c4dbaf89d7b8455bc98a</v>
      </c>
      <c r="K47" s="1" t="s">
        <v>1460</v>
      </c>
    </row>
    <row r="48" customFormat="false" ht="18.7" hidden="false" customHeight="true" outlineLevel="0" collapsed="false">
      <c r="A48" s="1" t="n">
        <v>47</v>
      </c>
      <c r="E48" s="9"/>
    </row>
    <row r="49" customFormat="false" ht="18.7" hidden="false" customHeight="true" outlineLevel="0" collapsed="false">
      <c r="A49" s="1" t="n">
        <v>48</v>
      </c>
      <c r="B49" s="7" t="str">
        <f aca="false">HYPERLINK("https://mncourtfraud.com/file/RJC-1.zip","RJC-1.zip")</f>
        <v>RJC-1.zip</v>
      </c>
      <c r="C49" s="8" t="str">
        <f aca="false">HYPERLINK("https://mncourtfraud.com/file/27-CR-20-27550.pdf","27-CR-20-27550")</f>
        <v>27-CR-20-27550</v>
      </c>
      <c r="D49" s="3" t="s">
        <v>1356</v>
      </c>
      <c r="E49" s="9" t="n">
        <v>45163</v>
      </c>
      <c r="F49" s="8" t="str">
        <f aca="false">HYPERLINK("https://mncourtfraud.com/file/MCRO_27-CR-20-27550_Returned Mail_2023-08-25_20240430090706.pdf","MCRO_27-CR-20-27550_Returned Mail_2023-08-25_20240430090706.pdf")</f>
        <v>MCRO_27-CR-20-27550_Returned Mail_2023-08-25_20240430090706.pdf</v>
      </c>
      <c r="G49" s="3" t="s">
        <v>1470</v>
      </c>
      <c r="H49" s="3" t="s">
        <v>1452</v>
      </c>
      <c r="I49" s="3" t="s">
        <v>1453</v>
      </c>
      <c r="J49" s="8" t="str">
        <f aca="false">HYPERLINK("https://mncourtfraud.com/file/45d48006daa6b3e8ef0311884af5c30fae4ef0e57f7cbaa1c1f10ea3de0b1d08.png","45d48006daa6b3e8ef0311884af5c30fae4ef0e57f7cbaa1c1f10ea3de0b1d08")</f>
        <v>45d48006daa6b3e8ef0311884af5c30fae4ef0e57f7cbaa1c1f10ea3de0b1d08</v>
      </c>
      <c r="K49" s="1" t="s">
        <v>1460</v>
      </c>
    </row>
    <row r="50" customFormat="false" ht="18.7" hidden="false" customHeight="true" outlineLevel="0" collapsed="false">
      <c r="A50" s="1" t="n">
        <v>49</v>
      </c>
      <c r="B50" s="7" t="str">
        <f aca="false">HYPERLINK("https://mncourtfraud.com/file/RJC-1.zip","RJC-1.zip")</f>
        <v>RJC-1.zip</v>
      </c>
      <c r="C50" s="8" t="str">
        <f aca="false">HYPERLINK("https://mncourtfraud.com/file/27-CR-22-14541.pdf","27-CR-22-14541")</f>
        <v>27-CR-22-14541</v>
      </c>
      <c r="D50" s="3" t="s">
        <v>1471</v>
      </c>
      <c r="E50" s="9" t="n">
        <v>45163</v>
      </c>
      <c r="F50" s="8" t="str">
        <f aca="false">HYPERLINK("https://mncourtfraud.com/file/MCRO_27-CR-22-14541_Returned Mail_2023-08-25_20240429161630.pdf","MCRO_27-CR-22-14541_Returned Mail_2023-08-25_20240429161630.pdf")</f>
        <v>MCRO_27-CR-22-14541_Returned Mail_2023-08-25_20240429161630.pdf</v>
      </c>
      <c r="G50" s="3" t="s">
        <v>1470</v>
      </c>
      <c r="H50" s="3" t="s">
        <v>1452</v>
      </c>
      <c r="I50" s="3" t="s">
        <v>1453</v>
      </c>
      <c r="J50" s="8" t="str">
        <f aca="false">HYPERLINK("https://mncourtfraud.com/file/45d48006daa6b3e8ef0311884af5c30fae4ef0e57f7cbaa1c1f10ea3de0b1d08.png","45d48006daa6b3e8ef0311884af5c30fae4ef0e57f7cbaa1c1f10ea3de0b1d08")</f>
        <v>45d48006daa6b3e8ef0311884af5c30fae4ef0e57f7cbaa1c1f10ea3de0b1d08</v>
      </c>
      <c r="K50" s="1" t="s">
        <v>1460</v>
      </c>
    </row>
    <row r="51" customFormat="false" ht="18.7" hidden="false" customHeight="true" outlineLevel="0" collapsed="false">
      <c r="A51" s="1" t="n">
        <v>50</v>
      </c>
      <c r="B51" s="7" t="str">
        <f aca="false">HYPERLINK("https://mncourtfraud.com/file/RJC-1.zip","RJC-1.zip")</f>
        <v>RJC-1.zip</v>
      </c>
      <c r="C51" s="8" t="str">
        <f aca="false">HYPERLINK("https://mncourtfraud.com/file/27-CR-22-15358.pdf","27-CR-22-15358")</f>
        <v>27-CR-22-15358</v>
      </c>
      <c r="D51" s="3" t="s">
        <v>1471</v>
      </c>
      <c r="E51" s="9" t="n">
        <v>45163</v>
      </c>
      <c r="F51" s="8" t="str">
        <f aca="false">HYPERLINK("https://mncourtfraud.com/file/MCRO_27-CR-22-15358_Returned Mail_2023-08-25_20240429161724.pdf","MCRO_27-CR-22-15358_Returned Mail_2023-08-25_20240429161724.pdf")</f>
        <v>MCRO_27-CR-22-15358_Returned Mail_2023-08-25_20240429161724.pdf</v>
      </c>
      <c r="G51" s="3" t="s">
        <v>1470</v>
      </c>
      <c r="H51" s="3" t="s">
        <v>1452</v>
      </c>
      <c r="I51" s="3" t="s">
        <v>1453</v>
      </c>
      <c r="J51" s="8" t="str">
        <f aca="false">HYPERLINK("https://mncourtfraud.com/file/45d48006daa6b3e8ef0311884af5c30fae4ef0e57f7cbaa1c1f10ea3de0b1d08.png","45d48006daa6b3e8ef0311884af5c30fae4ef0e57f7cbaa1c1f10ea3de0b1d08")</f>
        <v>45d48006daa6b3e8ef0311884af5c30fae4ef0e57f7cbaa1c1f10ea3de0b1d08</v>
      </c>
      <c r="K51" s="1" t="s">
        <v>1460</v>
      </c>
    </row>
    <row r="52" customFormat="false" ht="18.7" hidden="false" customHeight="true" outlineLevel="0" collapsed="false">
      <c r="A52" s="1" t="n">
        <v>51</v>
      </c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8.7" hidden="false" customHeight="true" outlineLevel="0" collapsed="false">
      <c r="A53" s="1" t="n">
        <v>52</v>
      </c>
      <c r="B53" s="7" t="str">
        <f aca="false">HYPERLINK("https://mncourtfraud.com/file/WLN-1.zip","WLN-1.zip")</f>
        <v>WLN-1.zip</v>
      </c>
      <c r="C53" s="8" t="str">
        <f aca="false">HYPERLINK("https://mncourtfraud.com/file/27-CR-19-9270.pdf","27-CR-19-9270")</f>
        <v>27-CR-19-9270</v>
      </c>
      <c r="D53" s="3" t="s">
        <v>1472</v>
      </c>
      <c r="E53" s="9" t="n">
        <v>44657</v>
      </c>
      <c r="F53" s="8" t="str">
        <f aca="false">HYPERLINK("https://mncourtfraud.com/file/MCRO_27-CR-19-9270_Returned Mail_2022-04-06_20240430091451.pdf","MCRO_27-CR-19-9270_Returned Mail_2022-04-06_20240430091451.pdf")</f>
        <v>MCRO_27-CR-19-9270_Returned Mail_2022-04-06_20240430091451.pdf</v>
      </c>
      <c r="G53" s="3" t="s">
        <v>1473</v>
      </c>
      <c r="H53" s="3" t="s">
        <v>1452</v>
      </c>
      <c r="I53" s="3" t="s">
        <v>1453</v>
      </c>
      <c r="J53" s="8" t="str">
        <f aca="false">HYPERLINK("https://mncourtfraud.com/file/67ec49c1daa7c38b27513167dbcf2ca24e5420bad8c26eb6d6e1b90a13584589.png","67ec49c1daa7c38b27513167dbcf2ca24e5420bad8c26eb6d6e1b90a13584589")</f>
        <v>67ec49c1daa7c38b27513167dbcf2ca24e5420bad8c26eb6d6e1b90a13584589</v>
      </c>
      <c r="K53" s="1" t="s">
        <v>1460</v>
      </c>
    </row>
    <row r="54" customFormat="false" ht="18.7" hidden="false" customHeight="true" outlineLevel="0" collapsed="false">
      <c r="A54" s="1" t="n">
        <v>53</v>
      </c>
      <c r="B54" s="7" t="str">
        <f aca="false">HYPERLINK("https://mncourtfraud.com/file/WLN-1.zip","WLN-1.zip")</f>
        <v>WLN-1.zip</v>
      </c>
      <c r="C54" s="8" t="str">
        <f aca="false">HYPERLINK("https://mncourtfraud.com/file/27-CR-22-3553.pdf","27-CR-22-3553")</f>
        <v>27-CR-22-3553</v>
      </c>
      <c r="D54" s="3" t="s">
        <v>1472</v>
      </c>
      <c r="E54" s="9" t="n">
        <v>44657</v>
      </c>
      <c r="F54" s="8" t="str">
        <f aca="false">HYPERLINK("https://mncourtfraud.com/file/MCRO_27-CR-22-3553_Returned Mail_2022-04-06_20240429032053.pdf","MCRO_27-CR-22-3553_Returned Mail_2022-04-06_20240429032053.pdf")</f>
        <v>MCRO_27-CR-22-3553_Returned Mail_2022-04-06_20240429032053.pdf</v>
      </c>
      <c r="G54" s="3" t="s">
        <v>1473</v>
      </c>
      <c r="H54" s="3" t="s">
        <v>1452</v>
      </c>
      <c r="I54" s="3" t="s">
        <v>1453</v>
      </c>
      <c r="J54" s="8" t="str">
        <f aca="false">HYPERLINK("https://mncourtfraud.com/file/67ec49c1daa7c38b27513167dbcf2ca24e5420bad8c26eb6d6e1b90a13584589.png","67ec49c1daa7c38b27513167dbcf2ca24e5420bad8c26eb6d6e1b90a13584589")</f>
        <v>67ec49c1daa7c38b27513167dbcf2ca24e5420bad8c26eb6d6e1b90a13584589</v>
      </c>
      <c r="K54" s="1" t="s">
        <v>1460</v>
      </c>
    </row>
    <row r="55" customFormat="false" ht="18.7" hidden="false" customHeight="true" outlineLevel="0" collapsed="false">
      <c r="A55" s="1"/>
    </row>
    <row r="56" customFormat="false" ht="18.7" hidden="false" customHeight="true" outlineLevel="0" collapsed="false">
      <c r="A56" s="1"/>
    </row>
    <row r="57" customFormat="false" ht="18.7" hidden="false" customHeight="true" outlineLevel="0" collapsed="false">
      <c r="A57" s="1"/>
    </row>
    <row r="58" customFormat="false" ht="18.7" hidden="false" customHeight="true" outlineLevel="0" collapsed="false">
      <c r="A58" s="1"/>
    </row>
    <row r="59" customFormat="false" ht="18.7" hidden="false" customHeight="true" outlineLevel="0" collapsed="false">
      <c r="A59" s="1"/>
    </row>
    <row r="60" customFormat="false" ht="18.7" hidden="false" customHeight="true" outlineLevel="0" collapsed="false">
      <c r="A60" s="1"/>
    </row>
    <row r="61" customFormat="false" ht="18.7" hidden="false" customHeight="true" outlineLevel="0" collapsed="false">
      <c r="A61" s="1"/>
    </row>
    <row r="62" customFormat="false" ht="18.7" hidden="false" customHeight="true" outlineLevel="0" collapsed="false">
      <c r="A62" s="1"/>
    </row>
    <row r="63" customFormat="false" ht="18.7" hidden="false" customHeight="true" outlineLevel="0" collapsed="false">
      <c r="A63" s="1"/>
    </row>
    <row r="64" customFormat="false" ht="18.7" hidden="false" customHeight="true" outlineLevel="0" collapsed="false">
      <c r="A64" s="1"/>
    </row>
    <row r="65" customFormat="false" ht="18.7" hidden="false" customHeight="true" outlineLevel="0" collapsed="false">
      <c r="A65" s="1"/>
    </row>
    <row r="66" customFormat="false" ht="18.7" hidden="false" customHeight="true" outlineLevel="0" collapsed="false">
      <c r="A66" s="1"/>
    </row>
    <row r="67" customFormat="false" ht="18.7" hidden="false" customHeight="true" outlineLevel="0" collapsed="false">
      <c r="A67" s="1"/>
    </row>
    <row r="68" customFormat="false" ht="18.7" hidden="false" customHeight="true" outlineLevel="0" collapsed="false">
      <c r="A68" s="1"/>
    </row>
    <row r="69" customFormat="false" ht="18.7" hidden="false" customHeight="true" outlineLevel="0" collapsed="false">
      <c r="A69" s="1"/>
    </row>
    <row r="70" customFormat="false" ht="18.7" hidden="false" customHeight="true" outlineLevel="0" collapsed="false">
      <c r="A70" s="1"/>
    </row>
    <row r="71" customFormat="false" ht="18.7" hidden="false" customHeight="true" outlineLevel="0" collapsed="false">
      <c r="A71" s="1"/>
    </row>
    <row r="72" customFormat="false" ht="18.7" hidden="false" customHeight="true" outlineLevel="0" collapsed="false">
      <c r="A72" s="1"/>
    </row>
    <row r="73" customFormat="false" ht="18.7" hidden="false" customHeight="true" outlineLevel="0" collapsed="false">
      <c r="A73" s="1"/>
    </row>
    <row r="74" customFormat="false" ht="18.7" hidden="false" customHeight="true" outlineLevel="0" collapsed="false">
      <c r="A74" s="1"/>
    </row>
    <row r="75" customFormat="false" ht="18.7" hidden="false" customHeight="true" outlineLevel="0" collapsed="false">
      <c r="A75" s="1"/>
    </row>
    <row r="76" customFormat="false" ht="18.7" hidden="false" customHeight="true" outlineLevel="0" collapsed="false">
      <c r="A76" s="1"/>
    </row>
    <row r="77" customFormat="false" ht="18.7" hidden="false" customHeight="true" outlineLevel="0" collapsed="false">
      <c r="A77" s="1"/>
    </row>
    <row r="78" customFormat="false" ht="18.7" hidden="false" customHeight="true" outlineLevel="0" collapsed="false">
      <c r="A78" s="1"/>
    </row>
    <row r="79" customFormat="false" ht="18.7" hidden="false" customHeight="true" outlineLevel="0" collapsed="false">
      <c r="A79" s="1"/>
    </row>
    <row r="80" customFormat="false" ht="18.7" hidden="false" customHeight="true" outlineLevel="0" collapsed="false">
      <c r="A80" s="1"/>
    </row>
    <row r="81" customFormat="false" ht="18.7" hidden="false" customHeight="true" outlineLevel="0" collapsed="false">
      <c r="A81" s="1"/>
    </row>
    <row r="82" customFormat="false" ht="18.7" hidden="false" customHeight="true" outlineLevel="0" collapsed="false">
      <c r="A82" s="1"/>
    </row>
    <row r="83" customFormat="false" ht="18.7" hidden="false" customHeight="true" outlineLevel="0" collapsed="false">
      <c r="A83" s="1"/>
    </row>
    <row r="84" customFormat="false" ht="18.7" hidden="false" customHeight="true" outlineLevel="0" collapsed="false">
      <c r="A84" s="1"/>
    </row>
    <row r="85" customFormat="false" ht="18.7" hidden="false" customHeight="true" outlineLevel="0" collapsed="false">
      <c r="A85" s="1"/>
    </row>
    <row r="86" customFormat="false" ht="18.7" hidden="false" customHeight="true" outlineLevel="0" collapsed="false">
      <c r="A86" s="1"/>
    </row>
    <row r="87" customFormat="false" ht="18.7" hidden="false" customHeight="true" outlineLevel="0" collapsed="false">
      <c r="A87" s="1"/>
    </row>
    <row r="88" customFormat="false" ht="18.7" hidden="false" customHeight="true" outlineLevel="0" collapsed="false">
      <c r="A88" s="1"/>
    </row>
    <row r="89" customFormat="false" ht="18.7" hidden="false" customHeight="true" outlineLevel="0" collapsed="false">
      <c r="A89" s="1"/>
    </row>
    <row r="90" customFormat="false" ht="18.7" hidden="false" customHeight="true" outlineLevel="0" collapsed="false">
      <c r="A90" s="1"/>
    </row>
    <row r="91" customFormat="false" ht="18.7" hidden="false" customHeight="true" outlineLevel="0" collapsed="false">
      <c r="A91" s="1"/>
    </row>
    <row r="92" customFormat="false" ht="18.7" hidden="false" customHeight="true" outlineLevel="0" collapsed="false">
      <c r="A92" s="1"/>
    </row>
    <row r="93" customFormat="false" ht="18.7" hidden="false" customHeight="true" outlineLevel="0" collapsed="false">
      <c r="A93" s="1"/>
    </row>
    <row r="94" customFormat="false" ht="18.7" hidden="false" customHeight="true" outlineLevel="0" collapsed="false">
      <c r="A94" s="1"/>
    </row>
    <row r="95" customFormat="false" ht="18.7" hidden="false" customHeight="true" outlineLevel="0" collapsed="false">
      <c r="A95" s="1"/>
    </row>
    <row r="96" customFormat="false" ht="18.7" hidden="false" customHeight="true" outlineLevel="0" collapsed="false">
      <c r="A96" s="1"/>
    </row>
    <row r="97" customFormat="false" ht="18.7" hidden="false" customHeight="true" outlineLevel="0" collapsed="false">
      <c r="A97" s="1"/>
    </row>
    <row r="98" customFormat="false" ht="18.7" hidden="false" customHeight="true" outlineLevel="0" collapsed="false">
      <c r="A98" s="1"/>
    </row>
    <row r="99" customFormat="false" ht="18.7" hidden="false" customHeight="true" outlineLevel="0" collapsed="false">
      <c r="A99" s="1"/>
    </row>
    <row r="100" customFormat="false" ht="18.7" hidden="false" customHeight="true" outlineLevel="0" collapsed="false">
      <c r="A100" s="1"/>
    </row>
    <row r="101" customFormat="false" ht="18.7" hidden="false" customHeight="true" outlineLevel="0" collapsed="false">
      <c r="A101" s="1"/>
    </row>
    <row r="102" customFormat="false" ht="18.7" hidden="false" customHeight="true" outlineLevel="0" collapsed="false">
      <c r="A102" s="1"/>
    </row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3" width="9.72"/>
    <col collapsed="false" customWidth="true" hidden="false" outlineLevel="0" max="2" min="2" style="2" width="16.81"/>
    <col collapsed="false" customWidth="true" hidden="false" outlineLevel="0" max="3" min="3" style="3" width="21.38"/>
    <col collapsed="false" customWidth="true" hidden="false" outlineLevel="0" max="4" min="4" style="3" width="46.65"/>
    <col collapsed="false" customWidth="true" hidden="false" outlineLevel="0" max="5" min="5" style="1" width="16.2"/>
    <col collapsed="false" customWidth="true" hidden="false" outlineLevel="0" max="6" min="6" style="3" width="124.41"/>
    <col collapsed="false" customWidth="true" hidden="false" outlineLevel="0" max="7" min="7" style="3" width="84.23"/>
    <col collapsed="false" customWidth="true" hidden="false" outlineLevel="0" max="8" min="8" style="1" width="16.67"/>
    <col collapsed="false" customWidth="true" hidden="false" outlineLevel="0" max="9" min="9" style="3" width="46.65"/>
    <col collapsed="false" customWidth="true" hidden="false" outlineLevel="0" max="10" min="10" style="1" width="31.75"/>
    <col collapsed="false" customWidth="true" hidden="false" outlineLevel="0" max="11" min="11" style="4" width="16.85"/>
    <col collapsed="false" customWidth="true" hidden="false" outlineLevel="0" max="12" min="12" style="3" width="24.17"/>
    <col collapsed="false" customWidth="true" hidden="false" outlineLevel="0" max="13" min="13" style="1" width="19.45"/>
    <col collapsed="false" customWidth="true" hidden="false" outlineLevel="0" max="14" min="14" style="1" width="17.49"/>
    <col collapsed="false" customWidth="true" hidden="false" outlineLevel="0" max="15" min="15" style="1" width="16.85"/>
    <col collapsed="false" customWidth="true" hidden="false" outlineLevel="0" max="17" min="16" style="14" width="16.85"/>
    <col collapsed="false" customWidth="false" hidden="false" outlineLevel="0" max="1022" min="18" style="4" width="11.52"/>
  </cols>
  <sheetData>
    <row r="1" customFormat="false" ht="23.05" hidden="false" customHeight="true" outlineLevel="0" collapsed="false">
      <c r="A1" s="5" t="s">
        <v>0</v>
      </c>
      <c r="B1" s="12" t="s">
        <v>1</v>
      </c>
      <c r="C1" s="5" t="s">
        <v>2</v>
      </c>
      <c r="D1" s="5" t="s">
        <v>3</v>
      </c>
      <c r="E1" s="5" t="s">
        <v>5</v>
      </c>
      <c r="F1" s="5" t="s">
        <v>4</v>
      </c>
      <c r="G1" s="6" t="s">
        <v>1449</v>
      </c>
      <c r="H1" s="6" t="s">
        <v>1450</v>
      </c>
      <c r="I1" s="6" t="s">
        <v>1447</v>
      </c>
      <c r="J1" s="6" t="s">
        <v>1448</v>
      </c>
      <c r="K1" s="6" t="s">
        <v>1474</v>
      </c>
      <c r="L1" s="6" t="s">
        <v>1475</v>
      </c>
      <c r="M1" s="6" t="s">
        <v>1476</v>
      </c>
      <c r="N1" s="6" t="s">
        <v>1477</v>
      </c>
      <c r="O1" s="6" t="s">
        <v>1478</v>
      </c>
      <c r="P1" s="6" t="s">
        <v>1479</v>
      </c>
      <c r="Q1" s="6" t="s">
        <v>1480</v>
      </c>
    </row>
    <row r="2" customFormat="false" ht="18.7" hidden="false" customHeight="true" outlineLevel="0" collapsed="false">
      <c r="A2" s="1" t="n">
        <v>1</v>
      </c>
      <c r="B2" s="7" t="str">
        <f aca="false">HYPERLINK("https://mncourtfraud.com/file/LPK-15.zip","LPK-15.zip")</f>
        <v>LPK-15.zip</v>
      </c>
      <c r="C2" s="8" t="str">
        <f aca="false">HYPERLINK("https://mncourtfraud.com/file/27-CR-21-8067.pdf","27-CR-21-8067")</f>
        <v>27-CR-21-8067</v>
      </c>
      <c r="D2" s="3" t="s">
        <v>15</v>
      </c>
      <c r="E2" s="9" t="n">
        <v>45013</v>
      </c>
      <c r="F2" s="8" t="str">
        <f aca="false">HYPERLINK("https://mncourtfraud.com/file/MCRO_27-CR-21-8067_Order-Evaluation for Competency to Proceed (Rule 20.01)_2023-03-28_20240430080639.pdf","MCRO_27-CR-21-8067_Order-Evaluation for Competency to Proceed (Rule 20.01)_2023-03-28_20240430080639.pdf")</f>
        <v>MCRO_27-CR-21-8067_Order-Evaluation for Competency to Proceed (Rule 20.01)_2023-03-28_20240430080639.pdf</v>
      </c>
      <c r="G2" s="8" t="str">
        <f aca="false">HYPERLINK("https://mncourtfraud.com/file/070ed6b05600372b42c638e3517160a7d740d74bc7eabd3e35f91e6f2737c645.png","070ed6b05600372b42c638e3517160a7d740d74bc7eabd3e35f91e6f2737c645")</f>
        <v>070ed6b05600372b42c638e3517160a7d740d74bc7eabd3e35f91e6f2737c645</v>
      </c>
      <c r="H2" s="1" t="s">
        <v>1460</v>
      </c>
      <c r="I2" s="3" t="s">
        <v>1481</v>
      </c>
      <c r="J2" s="1" t="s">
        <v>1482</v>
      </c>
      <c r="K2" s="3" t="n">
        <v>4121</v>
      </c>
      <c r="L2" s="15" t="s">
        <v>1483</v>
      </c>
      <c r="M2" s="1" t="s">
        <v>1484</v>
      </c>
      <c r="N2" s="9" t="n">
        <v>45013</v>
      </c>
      <c r="O2" s="10" t="s">
        <v>1485</v>
      </c>
      <c r="P2" s="1" t="n">
        <v>2510</v>
      </c>
      <c r="Q2" s="1" t="n">
        <v>150</v>
      </c>
    </row>
    <row r="3" customFormat="false" ht="18.7" hidden="false" customHeight="true" outlineLevel="0" collapsed="false">
      <c r="A3" s="1" t="n">
        <v>2</v>
      </c>
      <c r="B3" s="7" t="str">
        <f aca="false">HYPERLINK("https://mncourtfraud.com/file/LPK-15.zip","LPK-15.zip")</f>
        <v>LPK-15.zip</v>
      </c>
      <c r="C3" s="8" t="str">
        <f aca="false">HYPERLINK("https://mncourtfraud.com/file/27-CR-21-8227.pdf","27-CR-21-8227")</f>
        <v>27-CR-21-8227</v>
      </c>
      <c r="D3" s="3" t="s">
        <v>15</v>
      </c>
      <c r="E3" s="9" t="n">
        <v>45013</v>
      </c>
      <c r="F3" s="8" t="str">
        <f aca="false">HYPERLINK("https://mncourtfraud.com/file/MCRO_27-CR-21-8227_Order-Evaluation for Competency to Proceed (Rule 20.01)_2023-03-28_20240430080733.pdf","MCRO_27-CR-21-8227_Order-Evaluation for Competency to Proceed (Rule 20.01)_2023-03-28_20240430080733.pdf")</f>
        <v>MCRO_27-CR-21-8227_Order-Evaluation for Competency to Proceed (Rule 20.01)_2023-03-28_20240430080733.pdf</v>
      </c>
      <c r="G3" s="8" t="str">
        <f aca="false">HYPERLINK("https://mncourtfraud.com/file/070ed6b05600372b42c638e3517160a7d740d74bc7eabd3e35f91e6f2737c645.png","070ed6b05600372b42c638e3517160a7d740d74bc7eabd3e35f91e6f2737c645")</f>
        <v>070ed6b05600372b42c638e3517160a7d740d74bc7eabd3e35f91e6f2737c645</v>
      </c>
      <c r="H3" s="1" t="s">
        <v>1460</v>
      </c>
      <c r="I3" s="3" t="s">
        <v>1481</v>
      </c>
      <c r="J3" s="1" t="s">
        <v>1482</v>
      </c>
      <c r="K3" s="3" t="n">
        <v>4121</v>
      </c>
      <c r="L3" s="15" t="s">
        <v>1483</v>
      </c>
      <c r="M3" s="1" t="s">
        <v>1484</v>
      </c>
      <c r="N3" s="9" t="n">
        <v>45013</v>
      </c>
      <c r="O3" s="10" t="s">
        <v>1485</v>
      </c>
      <c r="P3" s="1" t="n">
        <v>2510</v>
      </c>
      <c r="Q3" s="1" t="n">
        <v>150</v>
      </c>
    </row>
    <row r="4" customFormat="false" ht="18.7" hidden="false" customHeight="true" outlineLevel="0" collapsed="false">
      <c r="A4" s="1" t="n">
        <v>3</v>
      </c>
      <c r="B4" s="7" t="str">
        <f aca="false">HYPERLINK("https://mncourtfraud.com/file/LPK-15.zip","LPK-15.zip")</f>
        <v>LPK-15.zip</v>
      </c>
      <c r="C4" s="8" t="str">
        <f aca="false">HYPERLINK("https://mncourtfraud.com/file/27-CR-21-8228.pdf","27-CR-21-8228")</f>
        <v>27-CR-21-8228</v>
      </c>
      <c r="D4" s="3" t="s">
        <v>15</v>
      </c>
      <c r="E4" s="9" t="n">
        <v>45013</v>
      </c>
      <c r="F4" s="8" t="str">
        <f aca="false">HYPERLINK("https://mncourtfraud.com/file/MCRO_27-CR-21-8228_Order-Evaluation for Competency to Proceed (Rule 20.01)_2023-03-28_20240430080826.pdf","MCRO_27-CR-21-8228_Order-Evaluation for Competency to Proceed (Rule 20.01)_2023-03-28_20240430080826.pdf")</f>
        <v>MCRO_27-CR-21-8228_Order-Evaluation for Competency to Proceed (Rule 20.01)_2023-03-28_20240430080826.pdf</v>
      </c>
      <c r="G4" s="8" t="str">
        <f aca="false">HYPERLINK("https://mncourtfraud.com/file/070ed6b05600372b42c638e3517160a7d740d74bc7eabd3e35f91e6f2737c645.png","070ed6b05600372b42c638e3517160a7d740d74bc7eabd3e35f91e6f2737c645")</f>
        <v>070ed6b05600372b42c638e3517160a7d740d74bc7eabd3e35f91e6f2737c645</v>
      </c>
      <c r="H4" s="1" t="s">
        <v>1460</v>
      </c>
      <c r="I4" s="3" t="s">
        <v>1481</v>
      </c>
      <c r="J4" s="1" t="s">
        <v>1482</v>
      </c>
      <c r="K4" s="3" t="n">
        <v>4121</v>
      </c>
      <c r="L4" s="15" t="s">
        <v>1483</v>
      </c>
      <c r="M4" s="1" t="s">
        <v>1484</v>
      </c>
      <c r="N4" s="9" t="n">
        <v>45013</v>
      </c>
      <c r="O4" s="10" t="s">
        <v>1485</v>
      </c>
      <c r="P4" s="1" t="n">
        <v>2510</v>
      </c>
      <c r="Q4" s="1" t="n">
        <v>150</v>
      </c>
    </row>
    <row r="5" customFormat="false" ht="18.7" hidden="false" customHeight="true" outlineLevel="0" collapsed="false">
      <c r="A5" s="1" t="n">
        <v>4</v>
      </c>
      <c r="B5" s="7" t="str">
        <f aca="false">HYPERLINK("https://mncourtfraud.com/file/LPK-15.zip","LPK-15.zip")</f>
        <v>LPK-15.zip</v>
      </c>
      <c r="C5" s="8" t="str">
        <f aca="false">HYPERLINK("https://mncourtfraud.com/file/27-CR-21-8229.pdf","27-CR-21-8229")</f>
        <v>27-CR-21-8229</v>
      </c>
      <c r="D5" s="3" t="s">
        <v>15</v>
      </c>
      <c r="E5" s="9" t="n">
        <v>45013</v>
      </c>
      <c r="F5" s="8" t="str">
        <f aca="false">HYPERLINK("https://mncourtfraud.com/file/MCRO_27-CR-21-8229_Order-Evaluation for Competency to Proceed (Rule 20.01)_2023-03-28_20240430081523.pdf","MCRO_27-CR-21-8229_Order-Evaluation for Competency to Proceed (Rule 20.01)_2023-03-28_20240430081523.pdf")</f>
        <v>MCRO_27-CR-21-8229_Order-Evaluation for Competency to Proceed (Rule 20.01)_2023-03-28_20240430081523.pdf</v>
      </c>
      <c r="G5" s="8" t="str">
        <f aca="false">HYPERLINK("https://mncourtfraud.com/file/070ed6b05600372b42c638e3517160a7d740d74bc7eabd3e35f91e6f2737c645.png","070ed6b05600372b42c638e3517160a7d740d74bc7eabd3e35f91e6f2737c645")</f>
        <v>070ed6b05600372b42c638e3517160a7d740d74bc7eabd3e35f91e6f2737c645</v>
      </c>
      <c r="H5" s="1" t="s">
        <v>1460</v>
      </c>
      <c r="I5" s="3" t="s">
        <v>1481</v>
      </c>
      <c r="J5" s="1" t="s">
        <v>1482</v>
      </c>
      <c r="K5" s="3" t="n">
        <v>4121</v>
      </c>
      <c r="L5" s="15" t="s">
        <v>1483</v>
      </c>
      <c r="M5" s="1" t="s">
        <v>1484</v>
      </c>
      <c r="N5" s="9" t="n">
        <v>45013</v>
      </c>
      <c r="O5" s="10" t="s">
        <v>1485</v>
      </c>
      <c r="P5" s="1" t="n">
        <v>2510</v>
      </c>
      <c r="Q5" s="1" t="n">
        <v>150</v>
      </c>
    </row>
    <row r="6" customFormat="false" ht="18.7" hidden="false" customHeight="true" outlineLevel="0" collapsed="false">
      <c r="A6" s="1" t="n">
        <v>5</v>
      </c>
      <c r="B6" s="7" t="str">
        <f aca="false">HYPERLINK("https://mncourtfraud.com/file/LPK-15.zip","LPK-15.zip")</f>
        <v>LPK-15.zip</v>
      </c>
      <c r="C6" s="8" t="str">
        <f aca="false">HYPERLINK("https://mncourtfraud.com/file/27-CR-21-8230.pdf","27-CR-21-8230")</f>
        <v>27-CR-21-8230</v>
      </c>
      <c r="D6" s="3" t="s">
        <v>15</v>
      </c>
      <c r="E6" s="9" t="n">
        <v>45013</v>
      </c>
      <c r="F6" s="8" t="str">
        <f aca="false">HYPERLINK("https://mncourtfraud.com/file/MCRO_27-CR-21-8230_Order-Evaluation for Competency to Proceed (Rule 20.01)_2023-03-28_20240430081641.pdf","MCRO_27-CR-21-8230_Order-Evaluation for Competency to Proceed (Rule 20.01)_2023-03-28_20240430081641.pdf")</f>
        <v>MCRO_27-CR-21-8230_Order-Evaluation for Competency to Proceed (Rule 20.01)_2023-03-28_20240430081641.pdf</v>
      </c>
      <c r="G6" s="8" t="str">
        <f aca="false">HYPERLINK("https://mncourtfraud.com/file/070ed6b05600372b42c638e3517160a7d740d74bc7eabd3e35f91e6f2737c645.png","070ed6b05600372b42c638e3517160a7d740d74bc7eabd3e35f91e6f2737c645")</f>
        <v>070ed6b05600372b42c638e3517160a7d740d74bc7eabd3e35f91e6f2737c645</v>
      </c>
      <c r="H6" s="1" t="s">
        <v>1460</v>
      </c>
      <c r="I6" s="3" t="s">
        <v>1481</v>
      </c>
      <c r="J6" s="1" t="s">
        <v>1482</v>
      </c>
      <c r="K6" s="3" t="n">
        <v>4121</v>
      </c>
      <c r="L6" s="15" t="s">
        <v>1483</v>
      </c>
      <c r="M6" s="1" t="s">
        <v>1484</v>
      </c>
      <c r="N6" s="9" t="n">
        <v>45013</v>
      </c>
      <c r="O6" s="10" t="s">
        <v>1485</v>
      </c>
      <c r="P6" s="1" t="n">
        <v>2510</v>
      </c>
      <c r="Q6" s="1" t="n">
        <v>150</v>
      </c>
    </row>
    <row r="7" customFormat="false" ht="18.7" hidden="false" customHeight="true" outlineLevel="0" collapsed="false">
      <c r="A7" s="1" t="n">
        <v>6</v>
      </c>
      <c r="B7" s="7" t="str">
        <f aca="false">HYPERLINK("https://mncourtfraud.com/file/LPK-15.zip","LPK-15.zip")</f>
        <v>LPK-15.zip</v>
      </c>
      <c r="C7" s="8" t="str">
        <f aca="false">HYPERLINK("https://mncourtfraud.com/file/27-CR-21-8511.pdf","27-CR-21-8511")</f>
        <v>27-CR-21-8511</v>
      </c>
      <c r="D7" s="3" t="s">
        <v>15</v>
      </c>
      <c r="E7" s="9" t="n">
        <v>45013</v>
      </c>
      <c r="F7" s="8" t="str">
        <f aca="false">HYPERLINK("https://mncourtfraud.com/file/MCRO_27-CR-21-8511_Order-Evaluation for Competency to Proceed (Rule 20.01)_2023-03-28_20240430082015.pdf","MCRO_27-CR-21-8511_Order-Evaluation for Competency to Proceed (Rule 20.01)_2023-03-28_20240430082015.pdf")</f>
        <v>MCRO_27-CR-21-8511_Order-Evaluation for Competency to Proceed (Rule 20.01)_2023-03-28_20240430082015.pdf</v>
      </c>
      <c r="G7" s="8" t="str">
        <f aca="false">HYPERLINK("https://mncourtfraud.com/file/070ed6b05600372b42c638e3517160a7d740d74bc7eabd3e35f91e6f2737c645.png","070ed6b05600372b42c638e3517160a7d740d74bc7eabd3e35f91e6f2737c645")</f>
        <v>070ed6b05600372b42c638e3517160a7d740d74bc7eabd3e35f91e6f2737c645</v>
      </c>
      <c r="H7" s="1" t="s">
        <v>1460</v>
      </c>
      <c r="I7" s="3" t="s">
        <v>1481</v>
      </c>
      <c r="J7" s="1" t="s">
        <v>1482</v>
      </c>
      <c r="K7" s="3" t="n">
        <v>4121</v>
      </c>
      <c r="L7" s="15" t="s">
        <v>1483</v>
      </c>
      <c r="M7" s="1" t="s">
        <v>1484</v>
      </c>
      <c r="N7" s="9" t="n">
        <v>45013</v>
      </c>
      <c r="O7" s="10" t="s">
        <v>1485</v>
      </c>
      <c r="P7" s="1" t="n">
        <v>2510</v>
      </c>
      <c r="Q7" s="1" t="n">
        <v>150</v>
      </c>
    </row>
    <row r="8" customFormat="false" ht="18.7" hidden="false" customHeight="true" outlineLevel="0" collapsed="false">
      <c r="A8" s="1" t="n">
        <v>7</v>
      </c>
      <c r="B8" s="7" t="str">
        <f aca="false">HYPERLINK("https://mncourtfraud.com/file/LPK-15.zip","LPK-15.zip")</f>
        <v>LPK-15.zip</v>
      </c>
      <c r="C8" s="8" t="str">
        <f aca="false">HYPERLINK("https://mncourtfraud.com/file/27-CR-22-17300.pdf","27-CR-22-17300")</f>
        <v>27-CR-22-17300</v>
      </c>
      <c r="D8" s="3" t="s">
        <v>15</v>
      </c>
      <c r="E8" s="9" t="n">
        <v>45013</v>
      </c>
      <c r="F8" s="8" t="str">
        <f aca="false">HYPERLINK("https://mncourtfraud.com/file/MCRO_27-CR-22-17300_Order-Evaluation for Competency to Proceed (Rule 20.01)_2023-03-28_20240429162003.pdf","MCRO_27-CR-22-17300_Order-Evaluation for Competency to Proceed (Rule 20.01)_2023-03-28_20240429162003.pdf")</f>
        <v>MCRO_27-CR-22-17300_Order-Evaluation for Competency to Proceed (Rule 20.01)_2023-03-28_20240429162003.pdf</v>
      </c>
      <c r="G8" s="8" t="str">
        <f aca="false">HYPERLINK("https://mncourtfraud.com/file/070ed6b05600372b42c638e3517160a7d740d74bc7eabd3e35f91e6f2737c645.png","070ed6b05600372b42c638e3517160a7d740d74bc7eabd3e35f91e6f2737c645")</f>
        <v>070ed6b05600372b42c638e3517160a7d740d74bc7eabd3e35f91e6f2737c645</v>
      </c>
      <c r="H8" s="1" t="s">
        <v>1460</v>
      </c>
      <c r="I8" s="3" t="s">
        <v>1481</v>
      </c>
      <c r="J8" s="1" t="s">
        <v>1482</v>
      </c>
      <c r="K8" s="3" t="n">
        <v>4121</v>
      </c>
      <c r="L8" s="15" t="s">
        <v>1483</v>
      </c>
      <c r="M8" s="1" t="s">
        <v>1484</v>
      </c>
      <c r="N8" s="9" t="n">
        <v>45013</v>
      </c>
      <c r="O8" s="10" t="s">
        <v>1485</v>
      </c>
      <c r="P8" s="1" t="n">
        <v>2510</v>
      </c>
      <c r="Q8" s="1" t="n">
        <v>150</v>
      </c>
    </row>
    <row r="9" customFormat="false" ht="18.7" hidden="false" customHeight="true" outlineLevel="0" collapsed="false">
      <c r="A9" s="1" t="n">
        <v>8</v>
      </c>
      <c r="B9" s="7" t="str">
        <f aca="false">HYPERLINK("https://mncourtfraud.com/file/LPK-15.zip","LPK-15.zip")</f>
        <v>LPK-15.zip</v>
      </c>
      <c r="C9" s="8" t="str">
        <f aca="false">HYPERLINK("https://mncourtfraud.com/file/27-CR-22-21679.pdf","27-CR-22-21679")</f>
        <v>27-CR-22-21679</v>
      </c>
      <c r="D9" s="3" t="s">
        <v>15</v>
      </c>
      <c r="E9" s="9" t="n">
        <v>45013</v>
      </c>
      <c r="F9" s="8" t="str">
        <f aca="false">HYPERLINK("https://mncourtfraud.com/file/MCRO_27-CR-22-21679_Order-Evaluation for Competency to Proceed (Rule 20.01)_2023-03-28_20240429162859.pdf","MCRO_27-CR-22-21679_Order-Evaluation for Competency to Proceed (Rule 20.01)_2023-03-28_20240429162859.pdf")</f>
        <v>MCRO_27-CR-22-21679_Order-Evaluation for Competency to Proceed (Rule 20.01)_2023-03-28_20240429162859.pdf</v>
      </c>
      <c r="G9" s="8" t="str">
        <f aca="false">HYPERLINK("https://mncourtfraud.com/file/070ed6b05600372b42c638e3517160a7d740d74bc7eabd3e35f91e6f2737c645.png","070ed6b05600372b42c638e3517160a7d740d74bc7eabd3e35f91e6f2737c645")</f>
        <v>070ed6b05600372b42c638e3517160a7d740d74bc7eabd3e35f91e6f2737c645</v>
      </c>
      <c r="H9" s="1" t="s">
        <v>1460</v>
      </c>
      <c r="I9" s="3" t="s">
        <v>1481</v>
      </c>
      <c r="J9" s="1" t="s">
        <v>1482</v>
      </c>
      <c r="K9" s="3" t="n">
        <v>4121</v>
      </c>
      <c r="L9" s="15" t="s">
        <v>1483</v>
      </c>
      <c r="M9" s="1" t="s">
        <v>1484</v>
      </c>
      <c r="N9" s="9" t="n">
        <v>45013</v>
      </c>
      <c r="O9" s="10" t="s">
        <v>1485</v>
      </c>
      <c r="P9" s="1" t="n">
        <v>2510</v>
      </c>
      <c r="Q9" s="1" t="n">
        <v>150</v>
      </c>
    </row>
    <row r="10" customFormat="false" ht="18.7" hidden="false" customHeight="true" outlineLevel="0" collapsed="false">
      <c r="A10" s="1" t="n">
        <v>9</v>
      </c>
      <c r="B10" s="7" t="str">
        <f aca="false">HYPERLINK("https://mncourtfraud.com/file/LPK-15.zip","LPK-15.zip")</f>
        <v>LPK-15.zip</v>
      </c>
      <c r="C10" s="8" t="str">
        <f aca="false">HYPERLINK("https://mncourtfraud.com/file/27-CR-22-24045.pdf","27-CR-22-24045")</f>
        <v>27-CR-22-24045</v>
      </c>
      <c r="D10" s="3" t="s">
        <v>15</v>
      </c>
      <c r="E10" s="9" t="n">
        <v>45013</v>
      </c>
      <c r="F10" s="8" t="str">
        <f aca="false">HYPERLINK("https://mncourtfraud.com/file/MCRO_27-CR-22-24045_Order-Evaluation for Competency to Proceed (Rule 20.01)_2023-03-28_20240429164220.pdf","MCRO_27-CR-22-24045_Order-Evaluation for Competency to Proceed (Rule 20.01)_2023-03-28_20240429164220.pdf")</f>
        <v>MCRO_27-CR-22-24045_Order-Evaluation for Competency to Proceed (Rule 20.01)_2023-03-28_20240429164220.pdf</v>
      </c>
      <c r="G10" s="8" t="str">
        <f aca="false">HYPERLINK("https://mncourtfraud.com/file/070ed6b05600372b42c638e3517160a7d740d74bc7eabd3e35f91e6f2737c645.png","070ed6b05600372b42c638e3517160a7d740d74bc7eabd3e35f91e6f2737c645")</f>
        <v>070ed6b05600372b42c638e3517160a7d740d74bc7eabd3e35f91e6f2737c645</v>
      </c>
      <c r="H10" s="1" t="s">
        <v>1460</v>
      </c>
      <c r="I10" s="3" t="s">
        <v>1481</v>
      </c>
      <c r="J10" s="1" t="s">
        <v>1482</v>
      </c>
      <c r="K10" s="3" t="n">
        <v>4121</v>
      </c>
      <c r="L10" s="15" t="s">
        <v>1483</v>
      </c>
      <c r="M10" s="1" t="s">
        <v>1484</v>
      </c>
      <c r="N10" s="9" t="n">
        <v>45013</v>
      </c>
      <c r="O10" s="10" t="s">
        <v>1485</v>
      </c>
      <c r="P10" s="1" t="n">
        <v>2510</v>
      </c>
      <c r="Q10" s="1" t="n">
        <v>150</v>
      </c>
    </row>
    <row r="11" customFormat="false" ht="18.7" hidden="false" customHeight="true" outlineLevel="0" collapsed="false">
      <c r="A11" s="1" t="n">
        <v>10</v>
      </c>
      <c r="B11" s="7" t="str">
        <f aca="false">HYPERLINK("https://mncourtfraud.com/file/LPK-15.zip","LPK-15.zip")</f>
        <v>LPK-15.zip</v>
      </c>
      <c r="C11" s="8" t="str">
        <f aca="false">HYPERLINK("https://mncourtfraud.com/file/27-CR-23-385.pdf","27-CR-23-385")</f>
        <v>27-CR-23-385</v>
      </c>
      <c r="D11" s="3" t="s">
        <v>15</v>
      </c>
      <c r="E11" s="9" t="n">
        <v>45013</v>
      </c>
      <c r="F11" s="8" t="str">
        <f aca="false">HYPERLINK("https://mncourtfraud.com/file/MCRO_27-CR-23-385_Order-Evaluation for Competency to Proceed (Rule 20.01)_2023-03-28_20240430071837.pdf","MCRO_27-CR-23-385_Order-Evaluation for Competency to Proceed (Rule 20.01)_2023-03-28_20240430071837.pdf")</f>
        <v>MCRO_27-CR-23-385_Order-Evaluation for Competency to Proceed (Rule 20.01)_2023-03-28_20240430071837.pdf</v>
      </c>
      <c r="G11" s="8" t="str">
        <f aca="false">HYPERLINK("https://mncourtfraud.com/file/070ed6b05600372b42c638e3517160a7d740d74bc7eabd3e35f91e6f2737c645.png","070ed6b05600372b42c638e3517160a7d740d74bc7eabd3e35f91e6f2737c645")</f>
        <v>070ed6b05600372b42c638e3517160a7d740d74bc7eabd3e35f91e6f2737c645</v>
      </c>
      <c r="H11" s="1" t="s">
        <v>1460</v>
      </c>
      <c r="I11" s="3" t="s">
        <v>1481</v>
      </c>
      <c r="J11" s="1" t="s">
        <v>1482</v>
      </c>
      <c r="K11" s="3" t="n">
        <v>4121</v>
      </c>
      <c r="L11" s="15" t="s">
        <v>1483</v>
      </c>
      <c r="M11" s="1" t="s">
        <v>1484</v>
      </c>
      <c r="N11" s="9" t="n">
        <v>45013</v>
      </c>
      <c r="O11" s="10" t="s">
        <v>1485</v>
      </c>
      <c r="P11" s="1" t="n">
        <v>2510</v>
      </c>
      <c r="Q11" s="1" t="n">
        <v>150</v>
      </c>
    </row>
    <row r="12" customFormat="false" ht="18.7" hidden="false" customHeight="true" outlineLevel="0" collapsed="false">
      <c r="A12" s="1" t="n">
        <v>11</v>
      </c>
      <c r="B12" s="7" t="str">
        <f aca="false">HYPERLINK("https://mncourtfraud.com/file/LPK-15.zip","LPK-15.zip")</f>
        <v>LPK-15.zip</v>
      </c>
      <c r="C12" s="8" t="str">
        <f aca="false">HYPERLINK("https://mncourtfraud.com/file/27-CR-23-5751.pdf","27-CR-23-5751")</f>
        <v>27-CR-23-5751</v>
      </c>
      <c r="D12" s="3" t="s">
        <v>15</v>
      </c>
      <c r="E12" s="9" t="n">
        <v>45013</v>
      </c>
      <c r="F12" s="8" t="str">
        <f aca="false">HYPERLINK("https://mncourtfraud.com/file/MCRO_27-CR-23-5751_Order-Evaluation for Competency to Proceed (Rule 20.01)_2023-03-28_20240430073243.pdf","MCRO_27-CR-23-5751_Order-Evaluation for Competency to Proceed (Rule 20.01)_2023-03-28_20240430073243.pdf")</f>
        <v>MCRO_27-CR-23-5751_Order-Evaluation for Competency to Proceed (Rule 20.01)_2023-03-28_20240430073243.pdf</v>
      </c>
      <c r="G12" s="8" t="str">
        <f aca="false">HYPERLINK("https://mncourtfraud.com/file/070ed6b05600372b42c638e3517160a7d740d74bc7eabd3e35f91e6f2737c645.png","070ed6b05600372b42c638e3517160a7d740d74bc7eabd3e35f91e6f2737c645")</f>
        <v>070ed6b05600372b42c638e3517160a7d740d74bc7eabd3e35f91e6f2737c645</v>
      </c>
      <c r="H12" s="1" t="s">
        <v>1460</v>
      </c>
      <c r="I12" s="3" t="s">
        <v>1481</v>
      </c>
      <c r="J12" s="1" t="s">
        <v>1482</v>
      </c>
      <c r="K12" s="3" t="n">
        <v>4121</v>
      </c>
      <c r="L12" s="15" t="s">
        <v>1483</v>
      </c>
      <c r="M12" s="1" t="s">
        <v>1484</v>
      </c>
      <c r="N12" s="9" t="n">
        <v>45013</v>
      </c>
      <c r="O12" s="10" t="s">
        <v>1485</v>
      </c>
      <c r="P12" s="1" t="n">
        <v>2510</v>
      </c>
      <c r="Q12" s="1" t="n">
        <v>150</v>
      </c>
    </row>
    <row r="13" customFormat="false" ht="18.7" hidden="false" customHeight="true" outlineLevel="0" collapsed="false">
      <c r="A13" s="1" t="n">
        <v>12</v>
      </c>
      <c r="E13" s="9"/>
      <c r="K13" s="3"/>
      <c r="L13" s="15"/>
      <c r="N13" s="9"/>
      <c r="O13" s="10"/>
      <c r="P13" s="1"/>
      <c r="Q13" s="1"/>
    </row>
    <row r="14" customFormat="false" ht="18.7" hidden="false" customHeight="true" outlineLevel="0" collapsed="false">
      <c r="A14" s="1" t="n">
        <v>13</v>
      </c>
      <c r="B14" s="7" t="str">
        <f aca="false">HYPERLINK("https://mncourtfraud.com/file/LPK-16.zip","LPK-16.zip")</f>
        <v>LPK-16.zip</v>
      </c>
      <c r="C14" s="8" t="str">
        <f aca="false">HYPERLINK("https://mncourtfraud.com/file/27-CR-21-6904.pdf","27-CR-21-6904")</f>
        <v>27-CR-21-6904</v>
      </c>
      <c r="D14" s="3" t="s">
        <v>15</v>
      </c>
      <c r="E14" s="9" t="n">
        <v>45231</v>
      </c>
      <c r="F14" s="8" t="str">
        <f aca="false">HYPERLINK("https://mncourtfraud.com/file/MCRO_27-CR-21-6904_Finding of Incompetency and Order_2023-11-01_20240430080453.pdf","MCRO_27-CR-21-6904_Finding of Incompetency and Order_2023-11-01_20240430080453.pdf")</f>
        <v>MCRO_27-CR-21-6904_Finding of Incompetency and Order_2023-11-01_20240430080453.pdf</v>
      </c>
      <c r="G14" s="8" t="str">
        <f aca="false">HYPERLINK("https://mncourtfraud.com/file/40078399c5305d92ea79c149329c3c17a614140cebc2357723d134c980b2a10f.png","40078399c5305d92ea79c149329c3c17a614140cebc2357723d134c980b2a10f")</f>
        <v>40078399c5305d92ea79c149329c3c17a614140cebc2357723d134c980b2a10f</v>
      </c>
      <c r="H14" s="1" t="s">
        <v>1460</v>
      </c>
      <c r="I14" s="3" t="s">
        <v>1486</v>
      </c>
      <c r="J14" s="1" t="s">
        <v>1482</v>
      </c>
      <c r="K14" s="3" t="n">
        <v>4714</v>
      </c>
      <c r="L14" s="15" t="s">
        <v>1487</v>
      </c>
      <c r="M14" s="1" t="s">
        <v>1484</v>
      </c>
      <c r="N14" s="9" t="n">
        <v>45230</v>
      </c>
      <c r="O14" s="10" t="s">
        <v>1488</v>
      </c>
      <c r="P14" s="1" t="n">
        <v>1830</v>
      </c>
      <c r="Q14" s="1" t="n">
        <v>190</v>
      </c>
    </row>
    <row r="15" customFormat="false" ht="18.7" hidden="false" customHeight="true" outlineLevel="0" collapsed="false">
      <c r="A15" s="1" t="n">
        <v>14</v>
      </c>
      <c r="B15" s="7" t="str">
        <f aca="false">HYPERLINK("https://mncourtfraud.com/file/LPK-16.zip","LPK-16.zip")</f>
        <v>LPK-16.zip</v>
      </c>
      <c r="C15" s="8" t="str">
        <f aca="false">HYPERLINK("https://mncourtfraud.com/file/27-CR-21-8067.pdf","27-CR-21-8067")</f>
        <v>27-CR-21-8067</v>
      </c>
      <c r="D15" s="3" t="s">
        <v>15</v>
      </c>
      <c r="E15" s="9" t="n">
        <v>45231</v>
      </c>
      <c r="F15" s="8" t="str">
        <f aca="false">HYPERLINK("https://mncourtfraud.com/file/MCRO_27-CR-21-8067_Finding of Incompetency and Order_2023-11-01_20240430080635.pdf","MCRO_27-CR-21-8067_Finding of Incompetency and Order_2023-11-01_20240430080635.pdf")</f>
        <v>MCRO_27-CR-21-8067_Finding of Incompetency and Order_2023-11-01_20240430080635.pdf</v>
      </c>
      <c r="G15" s="8" t="str">
        <f aca="false">HYPERLINK("https://mncourtfraud.com/file/40078399c5305d92ea79c149329c3c17a614140cebc2357723d134c980b2a10f.png","40078399c5305d92ea79c149329c3c17a614140cebc2357723d134c980b2a10f")</f>
        <v>40078399c5305d92ea79c149329c3c17a614140cebc2357723d134c980b2a10f</v>
      </c>
      <c r="H15" s="1" t="s">
        <v>1460</v>
      </c>
      <c r="I15" s="3" t="s">
        <v>1486</v>
      </c>
      <c r="J15" s="1" t="s">
        <v>1482</v>
      </c>
      <c r="K15" s="3" t="n">
        <v>4714</v>
      </c>
      <c r="L15" s="15" t="s">
        <v>1487</v>
      </c>
      <c r="M15" s="1" t="s">
        <v>1484</v>
      </c>
      <c r="N15" s="9" t="n">
        <v>45230</v>
      </c>
      <c r="O15" s="10" t="s">
        <v>1488</v>
      </c>
      <c r="P15" s="1" t="n">
        <v>1830</v>
      </c>
      <c r="Q15" s="1" t="n">
        <v>190</v>
      </c>
    </row>
    <row r="16" customFormat="false" ht="18.7" hidden="false" customHeight="true" outlineLevel="0" collapsed="false">
      <c r="A16" s="1" t="n">
        <v>15</v>
      </c>
      <c r="B16" s="7" t="str">
        <f aca="false">HYPERLINK("https://mncourtfraud.com/file/LPK-16.zip","LPK-16.zip")</f>
        <v>LPK-16.zip</v>
      </c>
      <c r="C16" s="8" t="str">
        <f aca="false">HYPERLINK("https://mncourtfraud.com/file/27-CR-21-8227.pdf","27-CR-21-8227")</f>
        <v>27-CR-21-8227</v>
      </c>
      <c r="D16" s="3" t="s">
        <v>15</v>
      </c>
      <c r="E16" s="9" t="n">
        <v>45231</v>
      </c>
      <c r="F16" s="8" t="str">
        <f aca="false">HYPERLINK("https://mncourtfraud.com/file/MCRO_27-CR-21-8227_Finding of Incompetency and Order_2023-11-01_20240430080729.pdf","MCRO_27-CR-21-8227_Finding of Incompetency and Order_2023-11-01_20240430080729.pdf")</f>
        <v>MCRO_27-CR-21-8227_Finding of Incompetency and Order_2023-11-01_20240430080729.pdf</v>
      </c>
      <c r="G16" s="8" t="str">
        <f aca="false">HYPERLINK("https://mncourtfraud.com/file/40078399c5305d92ea79c149329c3c17a614140cebc2357723d134c980b2a10f.png","40078399c5305d92ea79c149329c3c17a614140cebc2357723d134c980b2a10f")</f>
        <v>40078399c5305d92ea79c149329c3c17a614140cebc2357723d134c980b2a10f</v>
      </c>
      <c r="H16" s="1" t="s">
        <v>1460</v>
      </c>
      <c r="I16" s="3" t="s">
        <v>1486</v>
      </c>
      <c r="J16" s="1" t="s">
        <v>1482</v>
      </c>
      <c r="K16" s="3" t="n">
        <v>4714</v>
      </c>
      <c r="L16" s="15" t="s">
        <v>1487</v>
      </c>
      <c r="M16" s="1" t="s">
        <v>1484</v>
      </c>
      <c r="N16" s="9" t="n">
        <v>45230</v>
      </c>
      <c r="O16" s="10" t="s">
        <v>1488</v>
      </c>
      <c r="P16" s="1" t="n">
        <v>1830</v>
      </c>
      <c r="Q16" s="1" t="n">
        <v>190</v>
      </c>
    </row>
    <row r="17" customFormat="false" ht="18.7" hidden="false" customHeight="true" outlineLevel="0" collapsed="false">
      <c r="A17" s="1" t="n">
        <v>16</v>
      </c>
      <c r="B17" s="7" t="str">
        <f aca="false">HYPERLINK("https://mncourtfraud.com/file/LPK-16.zip","LPK-16.zip")</f>
        <v>LPK-16.zip</v>
      </c>
      <c r="C17" s="8" t="str">
        <f aca="false">HYPERLINK("https://mncourtfraud.com/file/27-CR-21-8228.pdf","27-CR-21-8228")</f>
        <v>27-CR-21-8228</v>
      </c>
      <c r="D17" s="3" t="s">
        <v>15</v>
      </c>
      <c r="E17" s="9" t="n">
        <v>45231</v>
      </c>
      <c r="F17" s="8" t="str">
        <f aca="false">HYPERLINK("https://mncourtfraud.com/file/MCRO_27-CR-21-8228_Finding of Incompetency and Order_2023-11-01_20240430080822.pdf","MCRO_27-CR-21-8228_Finding of Incompetency and Order_2023-11-01_20240430080822.pdf")</f>
        <v>MCRO_27-CR-21-8228_Finding of Incompetency and Order_2023-11-01_20240430080822.pdf</v>
      </c>
      <c r="G17" s="8" t="str">
        <f aca="false">HYPERLINK("https://mncourtfraud.com/file/40078399c5305d92ea79c149329c3c17a614140cebc2357723d134c980b2a10f.png","40078399c5305d92ea79c149329c3c17a614140cebc2357723d134c980b2a10f")</f>
        <v>40078399c5305d92ea79c149329c3c17a614140cebc2357723d134c980b2a10f</v>
      </c>
      <c r="H17" s="1" t="s">
        <v>1460</v>
      </c>
      <c r="I17" s="3" t="s">
        <v>1486</v>
      </c>
      <c r="J17" s="1" t="s">
        <v>1482</v>
      </c>
      <c r="K17" s="3" t="n">
        <v>4714</v>
      </c>
      <c r="L17" s="15" t="s">
        <v>1487</v>
      </c>
      <c r="M17" s="1" t="s">
        <v>1484</v>
      </c>
      <c r="N17" s="9" t="n">
        <v>45230</v>
      </c>
      <c r="O17" s="10" t="s">
        <v>1488</v>
      </c>
      <c r="P17" s="1" t="n">
        <v>1830</v>
      </c>
      <c r="Q17" s="1" t="n">
        <v>190</v>
      </c>
    </row>
    <row r="18" customFormat="false" ht="18.7" hidden="false" customHeight="true" outlineLevel="0" collapsed="false">
      <c r="A18" s="1" t="n">
        <v>17</v>
      </c>
      <c r="B18" s="7" t="str">
        <f aca="false">HYPERLINK("https://mncourtfraud.com/file/LPK-16.zip","LPK-16.zip")</f>
        <v>LPK-16.zip</v>
      </c>
      <c r="C18" s="8" t="str">
        <f aca="false">HYPERLINK("https://mncourtfraud.com/file/27-CR-21-8229.pdf","27-CR-21-8229")</f>
        <v>27-CR-21-8229</v>
      </c>
      <c r="D18" s="3" t="s">
        <v>15</v>
      </c>
      <c r="E18" s="9" t="n">
        <v>45231</v>
      </c>
      <c r="F18" s="8" t="str">
        <f aca="false">HYPERLINK("https://mncourtfraud.com/file/MCRO_27-CR-21-8229_Finding of Incompetency and Order_2023-11-01_20240430081519.pdf","MCRO_27-CR-21-8229_Finding of Incompetency and Order_2023-11-01_20240430081519.pdf")</f>
        <v>MCRO_27-CR-21-8229_Finding of Incompetency and Order_2023-11-01_20240430081519.pdf</v>
      </c>
      <c r="G18" s="8" t="str">
        <f aca="false">HYPERLINK("https://mncourtfraud.com/file/40078399c5305d92ea79c149329c3c17a614140cebc2357723d134c980b2a10f.png","40078399c5305d92ea79c149329c3c17a614140cebc2357723d134c980b2a10f")</f>
        <v>40078399c5305d92ea79c149329c3c17a614140cebc2357723d134c980b2a10f</v>
      </c>
      <c r="H18" s="1" t="s">
        <v>1460</v>
      </c>
      <c r="I18" s="3" t="s">
        <v>1486</v>
      </c>
      <c r="J18" s="1" t="s">
        <v>1482</v>
      </c>
      <c r="K18" s="3" t="n">
        <v>4714</v>
      </c>
      <c r="L18" s="15" t="s">
        <v>1487</v>
      </c>
      <c r="M18" s="1" t="s">
        <v>1484</v>
      </c>
      <c r="N18" s="9" t="n">
        <v>45230</v>
      </c>
      <c r="O18" s="10" t="s">
        <v>1488</v>
      </c>
      <c r="P18" s="1" t="n">
        <v>1830</v>
      </c>
      <c r="Q18" s="1" t="n">
        <v>190</v>
      </c>
    </row>
    <row r="19" customFormat="false" ht="18.7" hidden="false" customHeight="true" outlineLevel="0" collapsed="false">
      <c r="A19" s="1" t="n">
        <v>18</v>
      </c>
      <c r="B19" s="7" t="str">
        <f aca="false">HYPERLINK("https://mncourtfraud.com/file/LPK-16.zip","LPK-16.zip")</f>
        <v>LPK-16.zip</v>
      </c>
      <c r="C19" s="8" t="str">
        <f aca="false">HYPERLINK("https://mncourtfraud.com/file/27-CR-21-8230.pdf","27-CR-21-8230")</f>
        <v>27-CR-21-8230</v>
      </c>
      <c r="D19" s="3" t="s">
        <v>15</v>
      </c>
      <c r="E19" s="9" t="n">
        <v>45231</v>
      </c>
      <c r="F19" s="8" t="str">
        <f aca="false">HYPERLINK("https://mncourtfraud.com/file/MCRO_27-CR-21-8230_Finding of Incompetency and Order_2023-11-01_20240430081637.pdf","MCRO_27-CR-21-8230_Finding of Incompetency and Order_2023-11-01_20240430081637.pdf")</f>
        <v>MCRO_27-CR-21-8230_Finding of Incompetency and Order_2023-11-01_20240430081637.pdf</v>
      </c>
      <c r="G19" s="8" t="str">
        <f aca="false">HYPERLINK("https://mncourtfraud.com/file/40078399c5305d92ea79c149329c3c17a614140cebc2357723d134c980b2a10f.png","40078399c5305d92ea79c149329c3c17a614140cebc2357723d134c980b2a10f")</f>
        <v>40078399c5305d92ea79c149329c3c17a614140cebc2357723d134c980b2a10f</v>
      </c>
      <c r="H19" s="1" t="s">
        <v>1460</v>
      </c>
      <c r="I19" s="3" t="s">
        <v>1486</v>
      </c>
      <c r="J19" s="1" t="s">
        <v>1482</v>
      </c>
      <c r="K19" s="3" t="n">
        <v>4714</v>
      </c>
      <c r="L19" s="15" t="s">
        <v>1487</v>
      </c>
      <c r="M19" s="1" t="s">
        <v>1484</v>
      </c>
      <c r="N19" s="9" t="n">
        <v>45230</v>
      </c>
      <c r="O19" s="10" t="s">
        <v>1488</v>
      </c>
      <c r="P19" s="1" t="n">
        <v>1830</v>
      </c>
      <c r="Q19" s="1" t="n">
        <v>190</v>
      </c>
    </row>
    <row r="20" customFormat="false" ht="18.7" hidden="false" customHeight="true" outlineLevel="0" collapsed="false">
      <c r="A20" s="1" t="n">
        <v>19</v>
      </c>
      <c r="B20" s="7" t="str">
        <f aca="false">HYPERLINK("https://mncourtfraud.com/file/LPK-16.zip","LPK-16.zip")</f>
        <v>LPK-16.zip</v>
      </c>
      <c r="C20" s="8" t="str">
        <f aca="false">HYPERLINK("https://mncourtfraud.com/file/27-CR-21-8511.pdf","27-CR-21-8511")</f>
        <v>27-CR-21-8511</v>
      </c>
      <c r="D20" s="3" t="s">
        <v>15</v>
      </c>
      <c r="E20" s="9" t="n">
        <v>45231</v>
      </c>
      <c r="F20" s="8" t="str">
        <f aca="false">HYPERLINK("https://mncourtfraud.com/file/MCRO_27-CR-21-8511_Finding of Incompetency and Order_2023-11-01_20240430082010.pdf","MCRO_27-CR-21-8511_Finding of Incompetency and Order_2023-11-01_20240430082010.pdf")</f>
        <v>MCRO_27-CR-21-8511_Finding of Incompetency and Order_2023-11-01_20240430082010.pdf</v>
      </c>
      <c r="G20" s="8" t="str">
        <f aca="false">HYPERLINK("https://mncourtfraud.com/file/40078399c5305d92ea79c149329c3c17a614140cebc2357723d134c980b2a10f.png","40078399c5305d92ea79c149329c3c17a614140cebc2357723d134c980b2a10f")</f>
        <v>40078399c5305d92ea79c149329c3c17a614140cebc2357723d134c980b2a10f</v>
      </c>
      <c r="H20" s="1" t="s">
        <v>1460</v>
      </c>
      <c r="I20" s="3" t="s">
        <v>1486</v>
      </c>
      <c r="J20" s="1" t="s">
        <v>1482</v>
      </c>
      <c r="K20" s="3" t="n">
        <v>4714</v>
      </c>
      <c r="L20" s="15" t="s">
        <v>1487</v>
      </c>
      <c r="M20" s="1" t="s">
        <v>1484</v>
      </c>
      <c r="N20" s="9" t="n">
        <v>45230</v>
      </c>
      <c r="O20" s="10" t="s">
        <v>1488</v>
      </c>
      <c r="P20" s="1" t="n">
        <v>1830</v>
      </c>
      <c r="Q20" s="1" t="n">
        <v>190</v>
      </c>
    </row>
    <row r="21" customFormat="false" ht="18.7" hidden="false" customHeight="true" outlineLevel="0" collapsed="false">
      <c r="A21" s="1" t="n">
        <v>20</v>
      </c>
      <c r="B21" s="7" t="str">
        <f aca="false">HYPERLINK("https://mncourtfraud.com/file/LPK-16.zip","LPK-16.zip")</f>
        <v>LPK-16.zip</v>
      </c>
      <c r="C21" s="8" t="str">
        <f aca="false">HYPERLINK("https://mncourtfraud.com/file/27-CR-22-17300.pdf","27-CR-22-17300")</f>
        <v>27-CR-22-17300</v>
      </c>
      <c r="D21" s="3" t="s">
        <v>15</v>
      </c>
      <c r="E21" s="9" t="n">
        <v>45231</v>
      </c>
      <c r="F21" s="8" t="str">
        <f aca="false">HYPERLINK("https://mncourtfraud.com/file/MCRO_27-CR-22-17300_Finding of Incompetency and Order_2023-11-01_20240429161959.pdf","MCRO_27-CR-22-17300_Finding of Incompetency and Order_2023-11-01_20240429161959.pdf")</f>
        <v>MCRO_27-CR-22-17300_Finding of Incompetency and Order_2023-11-01_20240429161959.pdf</v>
      </c>
      <c r="G21" s="8" t="str">
        <f aca="false">HYPERLINK("https://mncourtfraud.com/file/40078399c5305d92ea79c149329c3c17a614140cebc2357723d134c980b2a10f.png","40078399c5305d92ea79c149329c3c17a614140cebc2357723d134c980b2a10f")</f>
        <v>40078399c5305d92ea79c149329c3c17a614140cebc2357723d134c980b2a10f</v>
      </c>
      <c r="H21" s="1" t="s">
        <v>1460</v>
      </c>
      <c r="I21" s="3" t="s">
        <v>1486</v>
      </c>
      <c r="J21" s="1" t="s">
        <v>1482</v>
      </c>
      <c r="K21" s="3" t="n">
        <v>4714</v>
      </c>
      <c r="L21" s="15" t="s">
        <v>1487</v>
      </c>
      <c r="M21" s="1" t="s">
        <v>1484</v>
      </c>
      <c r="N21" s="9" t="n">
        <v>45230</v>
      </c>
      <c r="O21" s="10" t="s">
        <v>1488</v>
      </c>
      <c r="P21" s="1" t="n">
        <v>1830</v>
      </c>
      <c r="Q21" s="1" t="n">
        <v>190</v>
      </c>
    </row>
    <row r="22" customFormat="false" ht="18.7" hidden="false" customHeight="true" outlineLevel="0" collapsed="false">
      <c r="A22" s="1" t="n">
        <v>21</v>
      </c>
      <c r="B22" s="7" t="str">
        <f aca="false">HYPERLINK("https://mncourtfraud.com/file/LPK-16.zip","LPK-16.zip")</f>
        <v>LPK-16.zip</v>
      </c>
      <c r="C22" s="8" t="str">
        <f aca="false">HYPERLINK("https://mncourtfraud.com/file/27-CR-23-5751.pdf","27-CR-23-5751")</f>
        <v>27-CR-23-5751</v>
      </c>
      <c r="D22" s="3" t="s">
        <v>15</v>
      </c>
      <c r="E22" s="9" t="n">
        <v>45231</v>
      </c>
      <c r="F22" s="8" t="str">
        <f aca="false">HYPERLINK("https://mncourtfraud.com/file/MCRO_27-CR-23-5751_Finding of Incompetency and Order_2023-11-01_20240430073239.pdf","MCRO_27-CR-23-5751_Finding of Incompetency and Order_2023-11-01_20240430073239.pdf")</f>
        <v>MCRO_27-CR-23-5751_Finding of Incompetency and Order_2023-11-01_20240430073239.pdf</v>
      </c>
      <c r="G22" s="8" t="str">
        <f aca="false">HYPERLINK("https://mncourtfraud.com/file/40078399c5305d92ea79c149329c3c17a614140cebc2357723d134c980b2a10f.png","40078399c5305d92ea79c149329c3c17a614140cebc2357723d134c980b2a10f")</f>
        <v>40078399c5305d92ea79c149329c3c17a614140cebc2357723d134c980b2a10f</v>
      </c>
      <c r="H22" s="1" t="s">
        <v>1460</v>
      </c>
      <c r="I22" s="3" t="s">
        <v>1486</v>
      </c>
      <c r="J22" s="1" t="s">
        <v>1482</v>
      </c>
      <c r="K22" s="3" t="n">
        <v>4714</v>
      </c>
      <c r="L22" s="15" t="s">
        <v>1487</v>
      </c>
      <c r="M22" s="1" t="s">
        <v>1484</v>
      </c>
      <c r="N22" s="9" t="n">
        <v>45230</v>
      </c>
      <c r="O22" s="10" t="s">
        <v>1488</v>
      </c>
      <c r="P22" s="1" t="n">
        <v>1830</v>
      </c>
      <c r="Q22" s="1" t="n">
        <v>190</v>
      </c>
    </row>
    <row r="23" customFormat="false" ht="18.7" hidden="false" customHeight="true" outlineLevel="0" collapsed="false">
      <c r="A23" s="1" t="n">
        <v>22</v>
      </c>
      <c r="E23" s="9"/>
      <c r="K23" s="3"/>
      <c r="L23" s="15"/>
      <c r="N23" s="9"/>
      <c r="O23" s="10"/>
      <c r="P23" s="1"/>
      <c r="Q23" s="1"/>
    </row>
    <row r="24" customFormat="false" ht="18.7" hidden="false" customHeight="true" outlineLevel="0" collapsed="false">
      <c r="A24" s="1" t="n">
        <v>23</v>
      </c>
      <c r="B24" s="7" t="str">
        <f aca="false">HYPERLINK("https://mncourtfraud.com/file/LPK-17.zip","LPK-17.zip")</f>
        <v>LPK-17.zip</v>
      </c>
      <c r="C24" s="8" t="str">
        <f aca="false">HYPERLINK("https://mncourtfraud.com/file/27-CR-21-6904.pdf","27-CR-21-6904")</f>
        <v>27-CR-21-6904</v>
      </c>
      <c r="D24" s="3" t="s">
        <v>15</v>
      </c>
      <c r="E24" s="9" t="n">
        <v>45160</v>
      </c>
      <c r="F24" s="8" t="str">
        <f aca="false">HYPERLINK("https://mncourtfraud.com/file/MCRO_27-CR-21-6904_Order-Evaluation for Competency to Proceed (Rule 20.01)_2023-08-22_20240430080455.pdf","MCRO_27-CR-21-6904_Order-Evaluation for Competency to Proceed (Rule 20.01)_2023-08-22_20240430080455.pdf")</f>
        <v>MCRO_27-CR-21-6904_Order-Evaluation for Competency to Proceed (Rule 20.01)_2023-08-22_20240430080455.pdf</v>
      </c>
      <c r="G24" s="8" t="str">
        <f aca="false">HYPERLINK("https://mncourtfraud.com/file/9034f8e501f6a1ac7824a275103e9de7720acc6bf6255115f5d904e092f76055.png","9034f8e501f6a1ac7824a275103e9de7720acc6bf6255115f5d904e092f76055")</f>
        <v>9034f8e501f6a1ac7824a275103e9de7720acc6bf6255115f5d904e092f76055</v>
      </c>
      <c r="H24" s="1" t="s">
        <v>1460</v>
      </c>
      <c r="I24" s="3" t="s">
        <v>1489</v>
      </c>
      <c r="J24" s="1" t="s">
        <v>1482</v>
      </c>
      <c r="K24" s="3" t="n">
        <v>5537</v>
      </c>
      <c r="L24" s="15" t="s">
        <v>1483</v>
      </c>
      <c r="M24" s="1" t="s">
        <v>1484</v>
      </c>
      <c r="N24" s="9" t="n">
        <v>45159</v>
      </c>
      <c r="O24" s="10" t="s">
        <v>1490</v>
      </c>
      <c r="P24" s="1" t="n">
        <v>2510</v>
      </c>
      <c r="Q24" s="1" t="n">
        <v>200</v>
      </c>
    </row>
    <row r="25" customFormat="false" ht="18.7" hidden="false" customHeight="true" outlineLevel="0" collapsed="false">
      <c r="A25" s="1" t="n">
        <v>24</v>
      </c>
      <c r="B25" s="7" t="str">
        <f aca="false">HYPERLINK("https://mncourtfraud.com/file/LPK-17.zip","LPK-17.zip")</f>
        <v>LPK-17.zip</v>
      </c>
      <c r="C25" s="8" t="str">
        <f aca="false">HYPERLINK("https://mncourtfraud.com/file/27-CR-21-8067.pdf","27-CR-21-8067")</f>
        <v>27-CR-21-8067</v>
      </c>
      <c r="D25" s="3" t="s">
        <v>15</v>
      </c>
      <c r="E25" s="9" t="n">
        <v>45160</v>
      </c>
      <c r="F25" s="8" t="str">
        <f aca="false">HYPERLINK("https://mncourtfraud.com/file/MCRO_27-CR-21-8067_Order-Evaluation for Competency to Proceed (Rule 20.01)_2023-08-22_20240430080636.pdf","MCRO_27-CR-21-8067_Order-Evaluation for Competency to Proceed (Rule 20.01)_2023-08-22_20240430080636.pdf")</f>
        <v>MCRO_27-CR-21-8067_Order-Evaluation for Competency to Proceed (Rule 20.01)_2023-08-22_20240430080636.pdf</v>
      </c>
      <c r="G25" s="8" t="str">
        <f aca="false">HYPERLINK("https://mncourtfraud.com/file/9034f8e501f6a1ac7824a275103e9de7720acc6bf6255115f5d904e092f76055.png","9034f8e501f6a1ac7824a275103e9de7720acc6bf6255115f5d904e092f76055")</f>
        <v>9034f8e501f6a1ac7824a275103e9de7720acc6bf6255115f5d904e092f76055</v>
      </c>
      <c r="H25" s="1" t="s">
        <v>1460</v>
      </c>
      <c r="I25" s="3" t="s">
        <v>1489</v>
      </c>
      <c r="J25" s="1" t="s">
        <v>1482</v>
      </c>
      <c r="K25" s="3" t="n">
        <v>5537</v>
      </c>
      <c r="L25" s="15" t="s">
        <v>1483</v>
      </c>
      <c r="M25" s="1" t="s">
        <v>1484</v>
      </c>
      <c r="N25" s="9" t="n">
        <v>45159</v>
      </c>
      <c r="O25" s="10" t="s">
        <v>1490</v>
      </c>
      <c r="P25" s="1" t="n">
        <v>2510</v>
      </c>
      <c r="Q25" s="1" t="n">
        <v>200</v>
      </c>
    </row>
    <row r="26" customFormat="false" ht="18.7" hidden="false" customHeight="true" outlineLevel="0" collapsed="false">
      <c r="A26" s="1" t="n">
        <v>25</v>
      </c>
      <c r="B26" s="7" t="str">
        <f aca="false">HYPERLINK("https://mncourtfraud.com/file/LPK-17.zip","LPK-17.zip")</f>
        <v>LPK-17.zip</v>
      </c>
      <c r="C26" s="8" t="str">
        <f aca="false">HYPERLINK("https://mncourtfraud.com/file/27-CR-21-8227.pdf","27-CR-21-8227")</f>
        <v>27-CR-21-8227</v>
      </c>
      <c r="D26" s="3" t="s">
        <v>15</v>
      </c>
      <c r="E26" s="9" t="n">
        <v>45160</v>
      </c>
      <c r="F26" s="8" t="str">
        <f aca="false">HYPERLINK("https://mncourtfraud.com/file/MCRO_27-CR-21-8227_Order-Evaluation for Competency to Proceed (Rule 20.01)_2023-08-22_20240430080730.pdf","MCRO_27-CR-21-8227_Order-Evaluation for Competency to Proceed (Rule 20.01)_2023-08-22_20240430080730.pdf")</f>
        <v>MCRO_27-CR-21-8227_Order-Evaluation for Competency to Proceed (Rule 20.01)_2023-08-22_20240430080730.pdf</v>
      </c>
      <c r="G26" s="8" t="str">
        <f aca="false">HYPERLINK("https://mncourtfraud.com/file/9034f8e501f6a1ac7824a275103e9de7720acc6bf6255115f5d904e092f76055.png","9034f8e501f6a1ac7824a275103e9de7720acc6bf6255115f5d904e092f76055")</f>
        <v>9034f8e501f6a1ac7824a275103e9de7720acc6bf6255115f5d904e092f76055</v>
      </c>
      <c r="H26" s="1" t="s">
        <v>1460</v>
      </c>
      <c r="I26" s="3" t="s">
        <v>1489</v>
      </c>
      <c r="J26" s="1" t="s">
        <v>1482</v>
      </c>
      <c r="K26" s="3" t="n">
        <v>5537</v>
      </c>
      <c r="L26" s="15" t="s">
        <v>1483</v>
      </c>
      <c r="M26" s="1" t="s">
        <v>1484</v>
      </c>
      <c r="N26" s="9" t="n">
        <v>45159</v>
      </c>
      <c r="O26" s="10" t="s">
        <v>1490</v>
      </c>
      <c r="P26" s="1" t="n">
        <v>2510</v>
      </c>
      <c r="Q26" s="1" t="n">
        <v>200</v>
      </c>
    </row>
    <row r="27" customFormat="false" ht="18.7" hidden="false" customHeight="true" outlineLevel="0" collapsed="false">
      <c r="A27" s="1" t="n">
        <v>26</v>
      </c>
      <c r="B27" s="7" t="str">
        <f aca="false">HYPERLINK("https://mncourtfraud.com/file/LPK-17.zip","LPK-17.zip")</f>
        <v>LPK-17.zip</v>
      </c>
      <c r="C27" s="8" t="str">
        <f aca="false">HYPERLINK("https://mncourtfraud.com/file/27-CR-21-8228.pdf","27-CR-21-8228")</f>
        <v>27-CR-21-8228</v>
      </c>
      <c r="D27" s="3" t="s">
        <v>15</v>
      </c>
      <c r="E27" s="9" t="n">
        <v>45160</v>
      </c>
      <c r="F27" s="8" t="str">
        <f aca="false">HYPERLINK("https://mncourtfraud.com/file/MCRO_27-CR-21-8228_Order-Evaluation for Competency to Proceed (Rule 20.01)_2023-08-22_20240430080822.pdf","MCRO_27-CR-21-8228_Order-Evaluation for Competency to Proceed (Rule 20.01)_2023-08-22_20240430080822.pdf")</f>
        <v>MCRO_27-CR-21-8228_Order-Evaluation for Competency to Proceed (Rule 20.01)_2023-08-22_20240430080822.pdf</v>
      </c>
      <c r="G27" s="8" t="str">
        <f aca="false">HYPERLINK("https://mncourtfraud.com/file/9034f8e501f6a1ac7824a275103e9de7720acc6bf6255115f5d904e092f76055.png","9034f8e501f6a1ac7824a275103e9de7720acc6bf6255115f5d904e092f76055")</f>
        <v>9034f8e501f6a1ac7824a275103e9de7720acc6bf6255115f5d904e092f76055</v>
      </c>
      <c r="H27" s="1" t="s">
        <v>1460</v>
      </c>
      <c r="I27" s="3" t="s">
        <v>1489</v>
      </c>
      <c r="J27" s="1" t="s">
        <v>1482</v>
      </c>
      <c r="K27" s="3" t="n">
        <v>5537</v>
      </c>
      <c r="L27" s="15" t="s">
        <v>1483</v>
      </c>
      <c r="M27" s="1" t="s">
        <v>1484</v>
      </c>
      <c r="N27" s="9" t="n">
        <v>45159</v>
      </c>
      <c r="O27" s="10" t="s">
        <v>1490</v>
      </c>
      <c r="P27" s="1" t="n">
        <v>2510</v>
      </c>
      <c r="Q27" s="1" t="n">
        <v>200</v>
      </c>
    </row>
    <row r="28" customFormat="false" ht="18.7" hidden="false" customHeight="true" outlineLevel="0" collapsed="false">
      <c r="A28" s="1" t="n">
        <v>27</v>
      </c>
      <c r="B28" s="7" t="str">
        <f aca="false">HYPERLINK("https://mncourtfraud.com/file/LPK-17.zip","LPK-17.zip")</f>
        <v>LPK-17.zip</v>
      </c>
      <c r="C28" s="8" t="str">
        <f aca="false">HYPERLINK("https://mncourtfraud.com/file/27-CR-21-8229.pdf","27-CR-21-8229")</f>
        <v>27-CR-21-8229</v>
      </c>
      <c r="D28" s="3" t="s">
        <v>15</v>
      </c>
      <c r="E28" s="9" t="n">
        <v>45160</v>
      </c>
      <c r="F28" s="8" t="str">
        <f aca="false">HYPERLINK("https://mncourtfraud.com/file/MCRO_27-CR-21-8229_Order-Evaluation for Competency to Proceed (Rule 20.01)_2023-08-22_20240430081520.pdf","MCRO_27-CR-21-8229_Order-Evaluation for Competency to Proceed (Rule 20.01)_2023-08-22_20240430081520.pdf")</f>
        <v>MCRO_27-CR-21-8229_Order-Evaluation for Competency to Proceed (Rule 20.01)_2023-08-22_20240430081520.pdf</v>
      </c>
      <c r="G28" s="8" t="str">
        <f aca="false">HYPERLINK("https://mncourtfraud.com/file/9034f8e501f6a1ac7824a275103e9de7720acc6bf6255115f5d904e092f76055.png","9034f8e501f6a1ac7824a275103e9de7720acc6bf6255115f5d904e092f76055")</f>
        <v>9034f8e501f6a1ac7824a275103e9de7720acc6bf6255115f5d904e092f76055</v>
      </c>
      <c r="H28" s="1" t="s">
        <v>1460</v>
      </c>
      <c r="I28" s="3" t="s">
        <v>1489</v>
      </c>
      <c r="J28" s="1" t="s">
        <v>1482</v>
      </c>
      <c r="K28" s="3" t="n">
        <v>5537</v>
      </c>
      <c r="L28" s="15" t="s">
        <v>1483</v>
      </c>
      <c r="M28" s="1" t="s">
        <v>1484</v>
      </c>
      <c r="N28" s="9" t="n">
        <v>45159</v>
      </c>
      <c r="O28" s="10" t="s">
        <v>1490</v>
      </c>
      <c r="P28" s="1" t="n">
        <v>2510</v>
      </c>
      <c r="Q28" s="1" t="n">
        <v>200</v>
      </c>
    </row>
    <row r="29" customFormat="false" ht="18.7" hidden="false" customHeight="true" outlineLevel="0" collapsed="false">
      <c r="A29" s="1" t="n">
        <v>28</v>
      </c>
      <c r="B29" s="7" t="str">
        <f aca="false">HYPERLINK("https://mncourtfraud.com/file/LPK-17.zip","LPK-17.zip")</f>
        <v>LPK-17.zip</v>
      </c>
      <c r="C29" s="8" t="str">
        <f aca="false">HYPERLINK("https://mncourtfraud.com/file/27-CR-21-8230.pdf","27-CR-21-8230")</f>
        <v>27-CR-21-8230</v>
      </c>
      <c r="D29" s="3" t="s">
        <v>15</v>
      </c>
      <c r="E29" s="9" t="n">
        <v>45160</v>
      </c>
      <c r="F29" s="8" t="str">
        <f aca="false">HYPERLINK("https://mncourtfraud.com/file/MCRO_27-CR-21-8230_Order-Evaluation for Competency to Proceed (Rule 20.01)_2023-08-22_20240430081638.pdf","MCRO_27-CR-21-8230_Order-Evaluation for Competency to Proceed (Rule 20.01)_2023-08-22_20240430081638.pdf")</f>
        <v>MCRO_27-CR-21-8230_Order-Evaluation for Competency to Proceed (Rule 20.01)_2023-08-22_20240430081638.pdf</v>
      </c>
      <c r="G29" s="8" t="str">
        <f aca="false">HYPERLINK("https://mncourtfraud.com/file/9034f8e501f6a1ac7824a275103e9de7720acc6bf6255115f5d904e092f76055.png","9034f8e501f6a1ac7824a275103e9de7720acc6bf6255115f5d904e092f76055")</f>
        <v>9034f8e501f6a1ac7824a275103e9de7720acc6bf6255115f5d904e092f76055</v>
      </c>
      <c r="H29" s="1" t="s">
        <v>1460</v>
      </c>
      <c r="I29" s="3" t="s">
        <v>1489</v>
      </c>
      <c r="J29" s="1" t="s">
        <v>1482</v>
      </c>
      <c r="K29" s="3" t="n">
        <v>5537</v>
      </c>
      <c r="L29" s="15" t="s">
        <v>1483</v>
      </c>
      <c r="M29" s="1" t="s">
        <v>1484</v>
      </c>
      <c r="N29" s="9" t="n">
        <v>45159</v>
      </c>
      <c r="O29" s="10" t="s">
        <v>1490</v>
      </c>
      <c r="P29" s="1" t="n">
        <v>2510</v>
      </c>
      <c r="Q29" s="1" t="n">
        <v>200</v>
      </c>
    </row>
    <row r="30" customFormat="false" ht="18.7" hidden="false" customHeight="true" outlineLevel="0" collapsed="false">
      <c r="A30" s="1" t="n">
        <v>29</v>
      </c>
      <c r="B30" s="7" t="str">
        <f aca="false">HYPERLINK("https://mncourtfraud.com/file/LPK-17.zip","LPK-17.zip")</f>
        <v>LPK-17.zip</v>
      </c>
      <c r="C30" s="8" t="str">
        <f aca="false">HYPERLINK("https://mncourtfraud.com/file/27-CR-21-8511.pdf","27-CR-21-8511")</f>
        <v>27-CR-21-8511</v>
      </c>
      <c r="D30" s="3" t="s">
        <v>15</v>
      </c>
      <c r="E30" s="9" t="n">
        <v>45160</v>
      </c>
      <c r="F30" s="8" t="str">
        <f aca="false">HYPERLINK("https://mncourtfraud.com/file/MCRO_27-CR-21-8511_Order-Evaluation for Competency to Proceed (Rule 20.01)_2023-08-22_20240430082012.pdf","MCRO_27-CR-21-8511_Order-Evaluation for Competency to Proceed (Rule 20.01)_2023-08-22_20240430082012.pdf")</f>
        <v>MCRO_27-CR-21-8511_Order-Evaluation for Competency to Proceed (Rule 20.01)_2023-08-22_20240430082012.pdf</v>
      </c>
      <c r="G30" s="8" t="str">
        <f aca="false">HYPERLINK("https://mncourtfraud.com/file/9034f8e501f6a1ac7824a275103e9de7720acc6bf6255115f5d904e092f76055.png","9034f8e501f6a1ac7824a275103e9de7720acc6bf6255115f5d904e092f76055")</f>
        <v>9034f8e501f6a1ac7824a275103e9de7720acc6bf6255115f5d904e092f76055</v>
      </c>
      <c r="H30" s="1" t="s">
        <v>1460</v>
      </c>
      <c r="I30" s="3" t="s">
        <v>1489</v>
      </c>
      <c r="J30" s="1" t="s">
        <v>1482</v>
      </c>
      <c r="K30" s="3" t="n">
        <v>5537</v>
      </c>
      <c r="L30" s="15" t="s">
        <v>1483</v>
      </c>
      <c r="M30" s="1" t="s">
        <v>1484</v>
      </c>
      <c r="N30" s="9" t="n">
        <v>45159</v>
      </c>
      <c r="O30" s="10" t="s">
        <v>1490</v>
      </c>
      <c r="P30" s="1" t="n">
        <v>2510</v>
      </c>
      <c r="Q30" s="1" t="n">
        <v>200</v>
      </c>
    </row>
    <row r="31" customFormat="false" ht="18.7" hidden="false" customHeight="true" outlineLevel="0" collapsed="false">
      <c r="A31" s="1" t="n">
        <v>30</v>
      </c>
      <c r="B31" s="7" t="str">
        <f aca="false">HYPERLINK("https://mncourtfraud.com/file/LPK-17.zip","LPK-17.zip")</f>
        <v>LPK-17.zip</v>
      </c>
      <c r="C31" s="8" t="str">
        <f aca="false">HYPERLINK("https://mncourtfraud.com/file/27-CR-22-17300.pdf","27-CR-22-17300")</f>
        <v>27-CR-22-17300</v>
      </c>
      <c r="D31" s="3" t="s">
        <v>15</v>
      </c>
      <c r="E31" s="9" t="n">
        <v>45160</v>
      </c>
      <c r="F31" s="8" t="str">
        <f aca="false">HYPERLINK("https://mncourtfraud.com/file/MCRO_27-CR-22-17300_Order-Evaluation for Competency to Proceed (Rule 20.01)_2023-08-22_20240429162000.pdf","MCRO_27-CR-22-17300_Order-Evaluation for Competency to Proceed (Rule 20.01)_2023-08-22_20240429162000.pdf")</f>
        <v>MCRO_27-CR-22-17300_Order-Evaluation for Competency to Proceed (Rule 20.01)_2023-08-22_20240429162000.pdf</v>
      </c>
      <c r="G31" s="8" t="str">
        <f aca="false">HYPERLINK("https://mncourtfraud.com/file/9034f8e501f6a1ac7824a275103e9de7720acc6bf6255115f5d904e092f76055.png","9034f8e501f6a1ac7824a275103e9de7720acc6bf6255115f5d904e092f76055")</f>
        <v>9034f8e501f6a1ac7824a275103e9de7720acc6bf6255115f5d904e092f76055</v>
      </c>
      <c r="H31" s="1" t="s">
        <v>1460</v>
      </c>
      <c r="I31" s="3" t="s">
        <v>1489</v>
      </c>
      <c r="J31" s="1" t="s">
        <v>1482</v>
      </c>
      <c r="K31" s="3" t="n">
        <v>5537</v>
      </c>
      <c r="L31" s="15" t="s">
        <v>1483</v>
      </c>
      <c r="M31" s="1" t="s">
        <v>1484</v>
      </c>
      <c r="N31" s="9" t="n">
        <v>45159</v>
      </c>
      <c r="O31" s="10" t="s">
        <v>1490</v>
      </c>
      <c r="P31" s="1" t="n">
        <v>2510</v>
      </c>
      <c r="Q31" s="1" t="n">
        <v>200</v>
      </c>
    </row>
    <row r="32" customFormat="false" ht="18.7" hidden="false" customHeight="true" outlineLevel="0" collapsed="false">
      <c r="A32" s="1" t="n">
        <v>31</v>
      </c>
      <c r="B32" s="7" t="str">
        <f aca="false">HYPERLINK("https://mncourtfraud.com/file/LPK-17.zip","LPK-17.zip")</f>
        <v>LPK-17.zip</v>
      </c>
      <c r="C32" s="8" t="str">
        <f aca="false">HYPERLINK("https://mncourtfraud.com/file/27-CR-23-5751.pdf","27-CR-23-5751")</f>
        <v>27-CR-23-5751</v>
      </c>
      <c r="D32" s="3" t="s">
        <v>15</v>
      </c>
      <c r="E32" s="9" t="n">
        <v>45160</v>
      </c>
      <c r="F32" s="8" t="str">
        <f aca="false">HYPERLINK("https://mncourtfraud.com/file/MCRO_27-CR-23-5751_Order-Evaluation for Competency to Proceed (Rule 20.01)_2023-08-22_20240430073240.pdf","MCRO_27-CR-23-5751_Order-Evaluation for Competency to Proceed (Rule 20.01)_2023-08-22_20240430073240.pdf")</f>
        <v>MCRO_27-CR-23-5751_Order-Evaluation for Competency to Proceed (Rule 20.01)_2023-08-22_20240430073240.pdf</v>
      </c>
      <c r="G32" s="8" t="str">
        <f aca="false">HYPERLINK("https://mncourtfraud.com/file/9034f8e501f6a1ac7824a275103e9de7720acc6bf6255115f5d904e092f76055.png","9034f8e501f6a1ac7824a275103e9de7720acc6bf6255115f5d904e092f76055")</f>
        <v>9034f8e501f6a1ac7824a275103e9de7720acc6bf6255115f5d904e092f76055</v>
      </c>
      <c r="H32" s="1" t="s">
        <v>1460</v>
      </c>
      <c r="I32" s="3" t="s">
        <v>1489</v>
      </c>
      <c r="J32" s="1" t="s">
        <v>1482</v>
      </c>
      <c r="K32" s="3" t="n">
        <v>5537</v>
      </c>
      <c r="L32" s="15" t="s">
        <v>1483</v>
      </c>
      <c r="M32" s="1" t="s">
        <v>1484</v>
      </c>
      <c r="N32" s="9" t="n">
        <v>45159</v>
      </c>
      <c r="O32" s="10" t="s">
        <v>1490</v>
      </c>
      <c r="P32" s="1" t="n">
        <v>2510</v>
      </c>
      <c r="Q32" s="1" t="n">
        <v>200</v>
      </c>
    </row>
    <row r="33" customFormat="false" ht="18.7" hidden="false" customHeight="true" outlineLevel="0" collapsed="false">
      <c r="A33" s="1" t="n">
        <v>32</v>
      </c>
      <c r="E33" s="9"/>
      <c r="K33" s="3"/>
      <c r="L33" s="15"/>
      <c r="N33" s="9"/>
      <c r="O33" s="10"/>
      <c r="P33" s="1"/>
      <c r="Q33" s="1"/>
    </row>
    <row r="34" customFormat="false" ht="18.7" hidden="false" customHeight="true" outlineLevel="0" collapsed="false">
      <c r="A34" s="1" t="n">
        <v>33</v>
      </c>
      <c r="B34" s="7" t="str">
        <f aca="false">HYPERLINK("https://mncourtfraud.com/file/LPK-18.zip","LPK-18.zip")</f>
        <v>LPK-18.zip</v>
      </c>
      <c r="C34" s="8" t="str">
        <f aca="false">HYPERLINK("https://mncourtfraud.com/file/27-CR-21-8227.pdf","27-CR-21-8227")</f>
        <v>27-CR-21-8227</v>
      </c>
      <c r="D34" s="3" t="s">
        <v>15</v>
      </c>
      <c r="E34" s="9" t="n">
        <v>45343</v>
      </c>
      <c r="F34" s="8" t="str">
        <f aca="false">HYPERLINK("https://mncourtfraud.com/file/MCRO_27-CR-21-8227_Order-Evaluation for Competency to Proceed (Rule 20.01)_2024-02-21_20240430080726.pdf","MCRO_27-CR-21-8227_Order-Evaluation for Competency to Proceed (Rule 20.01)_2024-02-21_20240430080726.pdf")</f>
        <v>MCRO_27-CR-21-8227_Order-Evaluation for Competency to Proceed (Rule 20.01)_2024-02-21_20240430080726.pdf</v>
      </c>
      <c r="G34" s="8" t="str">
        <f aca="false">HYPERLINK("https://mncourtfraud.com/file/b17bb593f6836ed90dc9ae6c169757044afce490fdaf37e118450197990cb0a2.png","b17bb593f6836ed90dc9ae6c169757044afce490fdaf37e118450197990cb0a2")</f>
        <v>b17bb593f6836ed90dc9ae6c169757044afce490fdaf37e118450197990cb0a2</v>
      </c>
      <c r="H34" s="1" t="s">
        <v>1460</v>
      </c>
      <c r="I34" s="3" t="s">
        <v>1491</v>
      </c>
      <c r="J34" s="1" t="s">
        <v>1482</v>
      </c>
      <c r="K34" s="3" t="n">
        <v>4877</v>
      </c>
      <c r="L34" s="15" t="s">
        <v>1487</v>
      </c>
      <c r="M34" s="1" t="s">
        <v>1484</v>
      </c>
      <c r="N34" s="9" t="n">
        <v>45343</v>
      </c>
      <c r="O34" s="10" t="s">
        <v>1492</v>
      </c>
      <c r="P34" s="1" t="n">
        <v>2080</v>
      </c>
      <c r="Q34" s="1" t="n">
        <v>190</v>
      </c>
    </row>
    <row r="35" customFormat="false" ht="18.7" hidden="false" customHeight="true" outlineLevel="0" collapsed="false">
      <c r="A35" s="1" t="n">
        <v>34</v>
      </c>
      <c r="B35" s="7" t="str">
        <f aca="false">HYPERLINK("https://mncourtfraud.com/file/LPK-18.zip","LPK-18.zip")</f>
        <v>LPK-18.zip</v>
      </c>
      <c r="C35" s="8" t="str">
        <f aca="false">HYPERLINK("https://mncourtfraud.com/file/27-CR-21-8228.pdf","27-CR-21-8228")</f>
        <v>27-CR-21-8228</v>
      </c>
      <c r="D35" s="3" t="s">
        <v>15</v>
      </c>
      <c r="E35" s="9" t="n">
        <v>45343</v>
      </c>
      <c r="F35" s="8" t="str">
        <f aca="false">HYPERLINK("https://mncourtfraud.com/file/MCRO_27-CR-21-8228_Order-Evaluation for Competency to Proceed (Rule 20.01)_2024-02-21_20240430080818.pdf","MCRO_27-CR-21-8228_Order-Evaluation for Competency to Proceed (Rule 20.01)_2024-02-21_20240430080818.pdf")</f>
        <v>MCRO_27-CR-21-8228_Order-Evaluation for Competency to Proceed (Rule 20.01)_2024-02-21_20240430080818.pdf</v>
      </c>
      <c r="G35" s="8" t="str">
        <f aca="false">HYPERLINK("https://mncourtfraud.com/file/b17bb593f6836ed90dc9ae6c169757044afce490fdaf37e118450197990cb0a2.png","b17bb593f6836ed90dc9ae6c169757044afce490fdaf37e118450197990cb0a2")</f>
        <v>b17bb593f6836ed90dc9ae6c169757044afce490fdaf37e118450197990cb0a2</v>
      </c>
      <c r="H35" s="1" t="s">
        <v>1460</v>
      </c>
      <c r="I35" s="3" t="s">
        <v>1491</v>
      </c>
      <c r="J35" s="1" t="s">
        <v>1482</v>
      </c>
      <c r="K35" s="3" t="n">
        <v>4877</v>
      </c>
      <c r="L35" s="15" t="s">
        <v>1487</v>
      </c>
      <c r="M35" s="1" t="s">
        <v>1484</v>
      </c>
      <c r="N35" s="9" t="n">
        <v>45343</v>
      </c>
      <c r="O35" s="10" t="s">
        <v>1492</v>
      </c>
      <c r="P35" s="1" t="n">
        <v>2080</v>
      </c>
      <c r="Q35" s="1" t="n">
        <v>190</v>
      </c>
    </row>
    <row r="36" customFormat="false" ht="18.7" hidden="false" customHeight="true" outlineLevel="0" collapsed="false">
      <c r="A36" s="1" t="n">
        <v>35</v>
      </c>
      <c r="B36" s="7" t="str">
        <f aca="false">HYPERLINK("https://mncourtfraud.com/file/LPK-18.zip","LPK-18.zip")</f>
        <v>LPK-18.zip</v>
      </c>
      <c r="C36" s="8" t="str">
        <f aca="false">HYPERLINK("https://mncourtfraud.com/file/27-CR-21-8229.pdf","27-CR-21-8229")</f>
        <v>27-CR-21-8229</v>
      </c>
      <c r="D36" s="3" t="s">
        <v>15</v>
      </c>
      <c r="E36" s="9" t="n">
        <v>45343</v>
      </c>
      <c r="F36" s="8" t="str">
        <f aca="false">HYPERLINK("https://mncourtfraud.com/file/MCRO_27-CR-21-8229_Order-Evaluation for Competency to Proceed (Rule 20.01)_2024-02-21_20240430081517.pdf","MCRO_27-CR-21-8229_Order-Evaluation for Competency to Proceed (Rule 20.01)_2024-02-21_20240430081517.pdf")</f>
        <v>MCRO_27-CR-21-8229_Order-Evaluation for Competency to Proceed (Rule 20.01)_2024-02-21_20240430081517.pdf</v>
      </c>
      <c r="G36" s="8" t="str">
        <f aca="false">HYPERLINK("https://mncourtfraud.com/file/b17bb593f6836ed90dc9ae6c169757044afce490fdaf37e118450197990cb0a2.png","b17bb593f6836ed90dc9ae6c169757044afce490fdaf37e118450197990cb0a2")</f>
        <v>b17bb593f6836ed90dc9ae6c169757044afce490fdaf37e118450197990cb0a2</v>
      </c>
      <c r="H36" s="1" t="s">
        <v>1460</v>
      </c>
      <c r="I36" s="3" t="s">
        <v>1491</v>
      </c>
      <c r="J36" s="1" t="s">
        <v>1482</v>
      </c>
      <c r="K36" s="3" t="n">
        <v>4877</v>
      </c>
      <c r="L36" s="15" t="s">
        <v>1487</v>
      </c>
      <c r="M36" s="1" t="s">
        <v>1484</v>
      </c>
      <c r="N36" s="9" t="n">
        <v>45343</v>
      </c>
      <c r="O36" s="10" t="s">
        <v>1492</v>
      </c>
      <c r="P36" s="1" t="n">
        <v>2080</v>
      </c>
      <c r="Q36" s="1" t="n">
        <v>190</v>
      </c>
    </row>
    <row r="37" customFormat="false" ht="18.7" hidden="false" customHeight="true" outlineLevel="0" collapsed="false">
      <c r="A37" s="1" t="n">
        <v>36</v>
      </c>
      <c r="B37" s="7" t="str">
        <f aca="false">HYPERLINK("https://mncourtfraud.com/file/LPK-18.zip","LPK-18.zip")</f>
        <v>LPK-18.zip</v>
      </c>
      <c r="C37" s="8" t="str">
        <f aca="false">HYPERLINK("https://mncourtfraud.com/file/27-CR-21-8230.pdf","27-CR-21-8230")</f>
        <v>27-CR-21-8230</v>
      </c>
      <c r="D37" s="3" t="s">
        <v>15</v>
      </c>
      <c r="E37" s="9" t="n">
        <v>45343</v>
      </c>
      <c r="F37" s="8" t="str">
        <f aca="false">HYPERLINK("https://mncourtfraud.com/file/MCRO_27-CR-21-8230_Order-Evaluation for Competency to Proceed (Rule 20.01)_2024-02-21_20240430081634.pdf","MCRO_27-CR-21-8230_Order-Evaluation for Competency to Proceed (Rule 20.01)_2024-02-21_20240430081634.pdf")</f>
        <v>MCRO_27-CR-21-8230_Order-Evaluation for Competency to Proceed (Rule 20.01)_2024-02-21_20240430081634.pdf</v>
      </c>
      <c r="G37" s="8" t="str">
        <f aca="false">HYPERLINK("https://mncourtfraud.com/file/b17bb593f6836ed90dc9ae6c169757044afce490fdaf37e118450197990cb0a2.png","b17bb593f6836ed90dc9ae6c169757044afce490fdaf37e118450197990cb0a2")</f>
        <v>b17bb593f6836ed90dc9ae6c169757044afce490fdaf37e118450197990cb0a2</v>
      </c>
      <c r="H37" s="1" t="s">
        <v>1460</v>
      </c>
      <c r="I37" s="3" t="s">
        <v>1491</v>
      </c>
      <c r="J37" s="1" t="s">
        <v>1482</v>
      </c>
      <c r="K37" s="3" t="n">
        <v>4877</v>
      </c>
      <c r="L37" s="15" t="s">
        <v>1487</v>
      </c>
      <c r="M37" s="1" t="s">
        <v>1484</v>
      </c>
      <c r="N37" s="9" t="n">
        <v>45343</v>
      </c>
      <c r="O37" s="10" t="s">
        <v>1492</v>
      </c>
      <c r="P37" s="1" t="n">
        <v>2080</v>
      </c>
      <c r="Q37" s="1" t="n">
        <v>190</v>
      </c>
    </row>
    <row r="38" customFormat="false" ht="18.7" hidden="false" customHeight="true" outlineLevel="0" collapsed="false">
      <c r="A38" s="1" t="n">
        <v>37</v>
      </c>
      <c r="B38" s="7" t="str">
        <f aca="false">HYPERLINK("https://mncourtfraud.com/file/LPK-18.zip","LPK-18.zip")</f>
        <v>LPK-18.zip</v>
      </c>
      <c r="C38" s="8" t="str">
        <f aca="false">HYPERLINK("https://mncourtfraud.com/file/27-CR-22-17300.pdf","27-CR-22-17300")</f>
        <v>27-CR-22-17300</v>
      </c>
      <c r="D38" s="3" t="s">
        <v>15</v>
      </c>
      <c r="E38" s="9" t="n">
        <v>45343</v>
      </c>
      <c r="F38" s="8" t="str">
        <f aca="false">HYPERLINK("https://mncourtfraud.com/file/MCRO_27-CR-22-17300_Order-Evaluation for Competency to Proceed (Rule 20.01)_2024-02-21_20240429161956.pdf","MCRO_27-CR-22-17300_Order-Evaluation for Competency to Proceed (Rule 20.01)_2024-02-21_20240429161956.pdf")</f>
        <v>MCRO_27-CR-22-17300_Order-Evaluation for Competency to Proceed (Rule 20.01)_2024-02-21_20240429161956.pdf</v>
      </c>
      <c r="G38" s="8" t="str">
        <f aca="false">HYPERLINK("https://mncourtfraud.com/file/b17bb593f6836ed90dc9ae6c169757044afce490fdaf37e118450197990cb0a2.png","b17bb593f6836ed90dc9ae6c169757044afce490fdaf37e118450197990cb0a2")</f>
        <v>b17bb593f6836ed90dc9ae6c169757044afce490fdaf37e118450197990cb0a2</v>
      </c>
      <c r="H38" s="1" t="s">
        <v>1460</v>
      </c>
      <c r="I38" s="3" t="s">
        <v>1491</v>
      </c>
      <c r="J38" s="1" t="s">
        <v>1482</v>
      </c>
      <c r="K38" s="3" t="n">
        <v>4877</v>
      </c>
      <c r="L38" s="15" t="s">
        <v>1487</v>
      </c>
      <c r="M38" s="1" t="s">
        <v>1484</v>
      </c>
      <c r="N38" s="9" t="n">
        <v>45343</v>
      </c>
      <c r="O38" s="10" t="s">
        <v>1492</v>
      </c>
      <c r="P38" s="1" t="n">
        <v>2080</v>
      </c>
      <c r="Q38" s="1" t="n">
        <v>190</v>
      </c>
    </row>
    <row r="39" customFormat="false" ht="18.7" hidden="false" customHeight="true" outlineLevel="0" collapsed="false">
      <c r="A39" s="1" t="n">
        <v>38</v>
      </c>
      <c r="B39" s="7" t="str">
        <f aca="false">HYPERLINK("https://mncourtfraud.com/file/LPK-18.zip","LPK-18.zip")</f>
        <v>LPK-18.zip</v>
      </c>
      <c r="C39" s="8" t="str">
        <f aca="false">HYPERLINK("https://mncourtfraud.com/file/27-CR-23-5751.pdf","27-CR-23-5751")</f>
        <v>27-CR-23-5751</v>
      </c>
      <c r="D39" s="3" t="s">
        <v>15</v>
      </c>
      <c r="E39" s="9" t="n">
        <v>45345</v>
      </c>
      <c r="F39" s="8" t="str">
        <f aca="false">HYPERLINK("https://mncourtfraud.com/file/MCRO_27-CR-23-5751_Order-Evaluation for Competency to Proceed (Rule 20.01)_2024-02-23_20240430073237.pdf","MCRO_27-CR-23-5751_Order-Evaluation for Competency to Proceed (Rule 20.01)_2024-02-23_20240430073237.pdf")</f>
        <v>MCRO_27-CR-23-5751_Order-Evaluation for Competency to Proceed (Rule 20.01)_2024-02-23_20240430073237.pdf</v>
      </c>
      <c r="G39" s="8" t="str">
        <f aca="false">HYPERLINK("https://mncourtfraud.com/file/b17bb593f6836ed90dc9ae6c169757044afce490fdaf37e118450197990cb0a2.png","b17bb593f6836ed90dc9ae6c169757044afce490fdaf37e118450197990cb0a2")</f>
        <v>b17bb593f6836ed90dc9ae6c169757044afce490fdaf37e118450197990cb0a2</v>
      </c>
      <c r="H39" s="1" t="s">
        <v>1460</v>
      </c>
      <c r="I39" s="3" t="s">
        <v>1491</v>
      </c>
      <c r="J39" s="1" t="s">
        <v>1482</v>
      </c>
      <c r="K39" s="3" t="n">
        <v>4877</v>
      </c>
      <c r="L39" s="15" t="s">
        <v>1487</v>
      </c>
      <c r="M39" s="1" t="s">
        <v>1484</v>
      </c>
      <c r="N39" s="9" t="n">
        <v>45343</v>
      </c>
      <c r="O39" s="10" t="s">
        <v>1492</v>
      </c>
      <c r="P39" s="1" t="n">
        <v>2080</v>
      </c>
      <c r="Q39" s="1" t="n">
        <v>190</v>
      </c>
    </row>
    <row r="40" customFormat="false" ht="18.7" hidden="false" customHeight="true" outlineLevel="0" collapsed="false">
      <c r="A40" s="1" t="n">
        <v>39</v>
      </c>
      <c r="E40" s="9"/>
      <c r="K40" s="3"/>
      <c r="L40" s="15"/>
      <c r="N40" s="9"/>
      <c r="O40" s="10"/>
      <c r="P40" s="1"/>
      <c r="Q40" s="1"/>
    </row>
    <row r="41" customFormat="false" ht="18.7" hidden="false" customHeight="true" outlineLevel="0" collapsed="false">
      <c r="A41" s="1" t="n">
        <v>40</v>
      </c>
      <c r="B41" s="7" t="str">
        <f aca="false">HYPERLINK("https://mncourtfraud.com/file/LPK-19.zip","LPK-19.zip")</f>
        <v>LPK-19.zip</v>
      </c>
      <c r="C41" s="8" t="str">
        <f aca="false">HYPERLINK("https://mncourtfraud.com/file/27-CR-21-6904.pdf","27-CR-21-6904")</f>
        <v>27-CR-21-6904</v>
      </c>
      <c r="D41" s="3" t="s">
        <v>15</v>
      </c>
      <c r="E41" s="9" t="n">
        <v>44978</v>
      </c>
      <c r="F41" s="8" t="str">
        <f aca="false">HYPERLINK("https://mncourtfraud.com/file/MCRO_27-CR-21-6904_Order-Evaluation for Competency to Proceed (Rule 20.01)_2023-02-21_20240430080457.pdf","MCRO_27-CR-21-6904_Order-Evaluation for Competency to Proceed (Rule 20.01)_2023-02-21_20240430080457.pdf")</f>
        <v>MCRO_27-CR-21-6904_Order-Evaluation for Competency to Proceed (Rule 20.01)_2023-02-21_20240430080457.pdf</v>
      </c>
      <c r="G41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41" s="1" t="s">
        <v>1460</v>
      </c>
      <c r="I41" s="3" t="s">
        <v>1493</v>
      </c>
      <c r="J41" s="1" t="s">
        <v>1482</v>
      </c>
      <c r="K41" s="3" t="n">
        <v>3811</v>
      </c>
      <c r="L41" s="15" t="s">
        <v>1487</v>
      </c>
      <c r="M41" s="1" t="s">
        <v>1484</v>
      </c>
      <c r="N41" s="9" t="n">
        <v>44979</v>
      </c>
      <c r="O41" s="10" t="s">
        <v>1494</v>
      </c>
      <c r="P41" s="1" t="n">
        <v>2140</v>
      </c>
      <c r="Q41" s="1" t="n">
        <v>150</v>
      </c>
    </row>
    <row r="42" customFormat="false" ht="18.7" hidden="false" customHeight="true" outlineLevel="0" collapsed="false">
      <c r="A42" s="1" t="n">
        <v>41</v>
      </c>
      <c r="B42" s="7" t="str">
        <f aca="false">HYPERLINK("https://mncourtfraud.com/file/LPK-19.zip","LPK-19.zip")</f>
        <v>LPK-19.zip</v>
      </c>
      <c r="C42" s="8" t="str">
        <f aca="false">HYPERLINK("https://mncourtfraud.com/file/27-CR-21-8067.pdf","27-CR-21-8067")</f>
        <v>27-CR-21-8067</v>
      </c>
      <c r="D42" s="3" t="s">
        <v>15</v>
      </c>
      <c r="E42" s="9" t="n">
        <v>44978</v>
      </c>
      <c r="F42" s="8" t="str">
        <f aca="false">HYPERLINK("https://mncourtfraud.com/file/MCRO_27-CR-21-8067_Order-Evaluation for Competency to Proceed (Rule 20.01)_2023-02-21_20240430080641.pdf","MCRO_27-CR-21-8067_Order-Evaluation for Competency to Proceed (Rule 20.01)_2023-02-21_20240430080641.pdf")</f>
        <v>MCRO_27-CR-21-8067_Order-Evaluation for Competency to Proceed (Rule 20.01)_2023-02-21_20240430080641.pdf</v>
      </c>
      <c r="G42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42" s="1" t="s">
        <v>1460</v>
      </c>
      <c r="I42" s="3" t="s">
        <v>1493</v>
      </c>
      <c r="J42" s="1" t="s">
        <v>1482</v>
      </c>
      <c r="K42" s="3" t="n">
        <v>3811</v>
      </c>
      <c r="L42" s="15" t="s">
        <v>1487</v>
      </c>
      <c r="M42" s="1" t="s">
        <v>1484</v>
      </c>
      <c r="N42" s="9" t="n">
        <v>44979</v>
      </c>
      <c r="O42" s="10" t="s">
        <v>1494</v>
      </c>
      <c r="P42" s="1" t="n">
        <v>2140</v>
      </c>
      <c r="Q42" s="1" t="n">
        <v>150</v>
      </c>
    </row>
    <row r="43" customFormat="false" ht="18.7" hidden="false" customHeight="true" outlineLevel="0" collapsed="false">
      <c r="A43" s="1" t="n">
        <v>42</v>
      </c>
      <c r="B43" s="7" t="str">
        <f aca="false">HYPERLINK("https://mncourtfraud.com/file/LPK-19.zip","LPK-19.zip")</f>
        <v>LPK-19.zip</v>
      </c>
      <c r="C43" s="8" t="str">
        <f aca="false">HYPERLINK("https://mncourtfraud.com/file/27-CR-21-8227.pdf","27-CR-21-8227")</f>
        <v>27-CR-21-8227</v>
      </c>
      <c r="D43" s="3" t="s">
        <v>15</v>
      </c>
      <c r="E43" s="9" t="n">
        <v>44978</v>
      </c>
      <c r="F43" s="8" t="str">
        <f aca="false">HYPERLINK("https://mncourtfraud.com/file/MCRO_27-CR-21-8227_Order-Evaluation for Competency to Proceed (Rule 20.01)_2023-02-21_20240430080735.pdf","MCRO_27-CR-21-8227_Order-Evaluation for Competency to Proceed (Rule 20.01)_2023-02-21_20240430080735.pdf")</f>
        <v>MCRO_27-CR-21-8227_Order-Evaluation for Competency to Proceed (Rule 20.01)_2023-02-21_20240430080735.pdf</v>
      </c>
      <c r="G43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43" s="1" t="s">
        <v>1460</v>
      </c>
      <c r="I43" s="3" t="s">
        <v>1493</v>
      </c>
      <c r="J43" s="1" t="s">
        <v>1482</v>
      </c>
      <c r="K43" s="3" t="n">
        <v>3811</v>
      </c>
      <c r="L43" s="15" t="s">
        <v>1487</v>
      </c>
      <c r="M43" s="1" t="s">
        <v>1484</v>
      </c>
      <c r="N43" s="9" t="n">
        <v>44979</v>
      </c>
      <c r="O43" s="10" t="s">
        <v>1494</v>
      </c>
      <c r="P43" s="1" t="n">
        <v>2140</v>
      </c>
      <c r="Q43" s="1" t="n">
        <v>150</v>
      </c>
    </row>
    <row r="44" customFormat="false" ht="18.7" hidden="false" customHeight="true" outlineLevel="0" collapsed="false">
      <c r="A44" s="1" t="n">
        <v>43</v>
      </c>
      <c r="B44" s="7" t="str">
        <f aca="false">HYPERLINK("https://mncourtfraud.com/file/LPK-19.zip","LPK-19.zip")</f>
        <v>LPK-19.zip</v>
      </c>
      <c r="C44" s="8" t="str">
        <f aca="false">HYPERLINK("https://mncourtfraud.com/file/27-CR-21-8228.pdf","27-CR-21-8228")</f>
        <v>27-CR-21-8228</v>
      </c>
      <c r="D44" s="3" t="s">
        <v>15</v>
      </c>
      <c r="E44" s="9" t="n">
        <v>44978</v>
      </c>
      <c r="F44" s="8" t="str">
        <f aca="false">HYPERLINK("https://mncourtfraud.com/file/MCRO_27-CR-21-8228_Order-Evaluation for Competency to Proceed (Rule 20.01)_2023-02-21_20240430080828.pdf","MCRO_27-CR-21-8228_Order-Evaluation for Competency to Proceed (Rule 20.01)_2023-02-21_20240430080828.pdf")</f>
        <v>MCRO_27-CR-21-8228_Order-Evaluation for Competency to Proceed (Rule 20.01)_2023-02-21_20240430080828.pdf</v>
      </c>
      <c r="G44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44" s="1" t="s">
        <v>1460</v>
      </c>
      <c r="I44" s="3" t="s">
        <v>1493</v>
      </c>
      <c r="J44" s="1" t="s">
        <v>1482</v>
      </c>
      <c r="K44" s="3" t="n">
        <v>3811</v>
      </c>
      <c r="L44" s="15" t="s">
        <v>1487</v>
      </c>
      <c r="M44" s="1" t="s">
        <v>1484</v>
      </c>
      <c r="N44" s="9" t="n">
        <v>44979</v>
      </c>
      <c r="O44" s="10" t="s">
        <v>1494</v>
      </c>
      <c r="P44" s="1" t="n">
        <v>2140</v>
      </c>
      <c r="Q44" s="1" t="n">
        <v>150</v>
      </c>
    </row>
    <row r="45" customFormat="false" ht="18.7" hidden="false" customHeight="true" outlineLevel="0" collapsed="false">
      <c r="A45" s="1" t="n">
        <v>44</v>
      </c>
      <c r="B45" s="7" t="str">
        <f aca="false">HYPERLINK("https://mncourtfraud.com/file/LPK-19.zip","LPK-19.zip")</f>
        <v>LPK-19.zip</v>
      </c>
      <c r="C45" s="8" t="str">
        <f aca="false">HYPERLINK("https://mncourtfraud.com/file/27-CR-21-8229.pdf","27-CR-21-8229")</f>
        <v>27-CR-21-8229</v>
      </c>
      <c r="D45" s="3" t="s">
        <v>15</v>
      </c>
      <c r="E45" s="9" t="n">
        <v>44978</v>
      </c>
      <c r="F45" s="8" t="str">
        <f aca="false">HYPERLINK("https://mncourtfraud.com/file/MCRO_27-CR-21-8229_Order-Evaluation for Competency to Proceed (Rule 20.01)_2023-02-21_20240430081525.pdf","MCRO_27-CR-21-8229_Order-Evaluation for Competency to Proceed (Rule 20.01)_2023-02-21_20240430081525.pdf")</f>
        <v>MCRO_27-CR-21-8229_Order-Evaluation for Competency to Proceed (Rule 20.01)_2023-02-21_20240430081525.pdf</v>
      </c>
      <c r="G45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45" s="1" t="s">
        <v>1460</v>
      </c>
      <c r="I45" s="3" t="s">
        <v>1493</v>
      </c>
      <c r="J45" s="1" t="s">
        <v>1482</v>
      </c>
      <c r="K45" s="3" t="n">
        <v>3811</v>
      </c>
      <c r="L45" s="15" t="s">
        <v>1487</v>
      </c>
      <c r="M45" s="1" t="s">
        <v>1484</v>
      </c>
      <c r="N45" s="9" t="n">
        <v>44979</v>
      </c>
      <c r="O45" s="10" t="s">
        <v>1494</v>
      </c>
      <c r="P45" s="1" t="n">
        <v>2140</v>
      </c>
      <c r="Q45" s="1" t="n">
        <v>150</v>
      </c>
    </row>
    <row r="46" customFormat="false" ht="18.7" hidden="false" customHeight="true" outlineLevel="0" collapsed="false">
      <c r="A46" s="1" t="n">
        <v>45</v>
      </c>
      <c r="B46" s="7" t="str">
        <f aca="false">HYPERLINK("https://mncourtfraud.com/file/LPK-19.zip","LPK-19.zip")</f>
        <v>LPK-19.zip</v>
      </c>
      <c r="C46" s="8" t="str">
        <f aca="false">HYPERLINK("https://mncourtfraud.com/file/27-CR-21-8230.pdf","27-CR-21-8230")</f>
        <v>27-CR-21-8230</v>
      </c>
      <c r="D46" s="3" t="s">
        <v>15</v>
      </c>
      <c r="E46" s="9" t="n">
        <v>44978</v>
      </c>
      <c r="F46" s="8" t="str">
        <f aca="false">HYPERLINK("https://mncourtfraud.com/file/MCRO_27-CR-21-8230_Order-Evaluation for Competency to Proceed (Rule 20.01)_2023-02-21_20240430081643.pdf","MCRO_27-CR-21-8230_Order-Evaluation for Competency to Proceed (Rule 20.01)_2023-02-21_20240430081643.pdf")</f>
        <v>MCRO_27-CR-21-8230_Order-Evaluation for Competency to Proceed (Rule 20.01)_2023-02-21_20240430081643.pdf</v>
      </c>
      <c r="G46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46" s="1" t="s">
        <v>1460</v>
      </c>
      <c r="I46" s="3" t="s">
        <v>1493</v>
      </c>
      <c r="J46" s="1" t="s">
        <v>1482</v>
      </c>
      <c r="K46" s="3" t="n">
        <v>3811</v>
      </c>
      <c r="L46" s="15" t="s">
        <v>1487</v>
      </c>
      <c r="M46" s="1" t="s">
        <v>1484</v>
      </c>
      <c r="N46" s="9" t="n">
        <v>44979</v>
      </c>
      <c r="O46" s="10" t="s">
        <v>1494</v>
      </c>
      <c r="P46" s="1" t="n">
        <v>2140</v>
      </c>
      <c r="Q46" s="1" t="n">
        <v>150</v>
      </c>
    </row>
    <row r="47" customFormat="false" ht="18.7" hidden="false" customHeight="true" outlineLevel="0" collapsed="false">
      <c r="A47" s="1" t="n">
        <v>46</v>
      </c>
      <c r="B47" s="7" t="str">
        <f aca="false">HYPERLINK("https://mncourtfraud.com/file/LPK-19.zip","LPK-19.zip")</f>
        <v>LPK-19.zip</v>
      </c>
      <c r="C47" s="8" t="str">
        <f aca="false">HYPERLINK("https://mncourtfraud.com/file/27-CR-21-8511.pdf","27-CR-21-8511")</f>
        <v>27-CR-21-8511</v>
      </c>
      <c r="D47" s="3" t="s">
        <v>15</v>
      </c>
      <c r="E47" s="9" t="n">
        <v>44978</v>
      </c>
      <c r="F47" s="8" t="str">
        <f aca="false">HYPERLINK("https://mncourtfraud.com/file/MCRO_27-CR-21-8511_Order-Evaluation for Competency to Proceed (Rule 20.01)_2023-02-21_20240430082016.pdf","MCRO_27-CR-21-8511_Order-Evaluation for Competency to Proceed (Rule 20.01)_2023-02-21_20240430082016.pdf")</f>
        <v>MCRO_27-CR-21-8511_Order-Evaluation for Competency to Proceed (Rule 20.01)_2023-02-21_20240430082016.pdf</v>
      </c>
      <c r="G47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47" s="1" t="s">
        <v>1460</v>
      </c>
      <c r="I47" s="3" t="s">
        <v>1493</v>
      </c>
      <c r="J47" s="1" t="s">
        <v>1482</v>
      </c>
      <c r="K47" s="3" t="n">
        <v>3811</v>
      </c>
      <c r="L47" s="15" t="s">
        <v>1487</v>
      </c>
      <c r="M47" s="1" t="s">
        <v>1484</v>
      </c>
      <c r="N47" s="9" t="n">
        <v>44979</v>
      </c>
      <c r="O47" s="10" t="s">
        <v>1494</v>
      </c>
      <c r="P47" s="1" t="n">
        <v>2140</v>
      </c>
      <c r="Q47" s="1" t="n">
        <v>150</v>
      </c>
    </row>
    <row r="48" customFormat="false" ht="18.7" hidden="false" customHeight="true" outlineLevel="0" collapsed="false">
      <c r="A48" s="1" t="n">
        <v>47</v>
      </c>
      <c r="B48" s="7" t="str">
        <f aca="false">HYPERLINK("https://mncourtfraud.com/file/LPK-19.zip","LPK-19.zip")</f>
        <v>LPK-19.zip</v>
      </c>
      <c r="C48" s="8" t="str">
        <f aca="false">HYPERLINK("https://mncourtfraud.com/file/27-CR-22-17300.pdf","27-CR-22-17300")</f>
        <v>27-CR-22-17300</v>
      </c>
      <c r="D48" s="3" t="s">
        <v>15</v>
      </c>
      <c r="E48" s="9" t="n">
        <v>44978</v>
      </c>
      <c r="F48" s="8" t="str">
        <f aca="false">HYPERLINK("https://mncourtfraud.com/file/MCRO_27-CR-22-17300_Order-Evaluation for Competency to Proceed (Rule 20.01)_2023-02-21_20240429162005.pdf","MCRO_27-CR-22-17300_Order-Evaluation for Competency to Proceed (Rule 20.01)_2023-02-21_20240429162005.pdf")</f>
        <v>MCRO_27-CR-22-17300_Order-Evaluation for Competency to Proceed (Rule 20.01)_2023-02-21_20240429162005.pdf</v>
      </c>
      <c r="G48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48" s="1" t="s">
        <v>1460</v>
      </c>
      <c r="I48" s="3" t="s">
        <v>1493</v>
      </c>
      <c r="J48" s="1" t="s">
        <v>1482</v>
      </c>
      <c r="K48" s="3" t="n">
        <v>3811</v>
      </c>
      <c r="L48" s="15" t="s">
        <v>1487</v>
      </c>
      <c r="M48" s="1" t="s">
        <v>1484</v>
      </c>
      <c r="N48" s="9" t="n">
        <v>44979</v>
      </c>
      <c r="O48" s="10" t="s">
        <v>1494</v>
      </c>
      <c r="P48" s="1" t="n">
        <v>2140</v>
      </c>
      <c r="Q48" s="1" t="n">
        <v>150</v>
      </c>
    </row>
    <row r="49" customFormat="false" ht="18.7" hidden="false" customHeight="true" outlineLevel="0" collapsed="false">
      <c r="A49" s="1" t="n">
        <v>48</v>
      </c>
      <c r="B49" s="7" t="str">
        <f aca="false">HYPERLINK("https://mncourtfraud.com/file/LPK-19.zip","LPK-19.zip")</f>
        <v>LPK-19.zip</v>
      </c>
      <c r="C49" s="8" t="str">
        <f aca="false">HYPERLINK("https://mncourtfraud.com/file/27-CR-22-21679.pdf","27-CR-22-21679")</f>
        <v>27-CR-22-21679</v>
      </c>
      <c r="D49" s="3" t="s">
        <v>15</v>
      </c>
      <c r="E49" s="9" t="n">
        <v>44978</v>
      </c>
      <c r="F49" s="8" t="str">
        <f aca="false">HYPERLINK("https://mncourtfraud.com/file/MCRO_27-CR-22-21679_Order-Evaluation for Competency to Proceed (Rule 20.01)_2023-02-21_20240429162900.pdf","MCRO_27-CR-22-21679_Order-Evaluation for Competency to Proceed (Rule 20.01)_2023-02-21_20240429162900.pdf")</f>
        <v>MCRO_27-CR-22-21679_Order-Evaluation for Competency to Proceed (Rule 20.01)_2023-02-21_20240429162900.pdf</v>
      </c>
      <c r="G49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49" s="1" t="s">
        <v>1460</v>
      </c>
      <c r="I49" s="3" t="s">
        <v>1493</v>
      </c>
      <c r="J49" s="1" t="s">
        <v>1482</v>
      </c>
      <c r="K49" s="3" t="n">
        <v>3811</v>
      </c>
      <c r="L49" s="15" t="s">
        <v>1487</v>
      </c>
      <c r="M49" s="1" t="s">
        <v>1484</v>
      </c>
      <c r="N49" s="9" t="n">
        <v>44979</v>
      </c>
      <c r="O49" s="10" t="s">
        <v>1494</v>
      </c>
      <c r="P49" s="1" t="n">
        <v>2140</v>
      </c>
      <c r="Q49" s="1" t="n">
        <v>150</v>
      </c>
    </row>
    <row r="50" customFormat="false" ht="18.7" hidden="false" customHeight="true" outlineLevel="0" collapsed="false">
      <c r="A50" s="1" t="n">
        <v>49</v>
      </c>
      <c r="B50" s="7" t="str">
        <f aca="false">HYPERLINK("https://mncourtfraud.com/file/LPK-19.zip","LPK-19.zip")</f>
        <v>LPK-19.zip</v>
      </c>
      <c r="C50" s="8" t="str">
        <f aca="false">HYPERLINK("https://mncourtfraud.com/file/27-CR-22-24045.pdf","27-CR-22-24045")</f>
        <v>27-CR-22-24045</v>
      </c>
      <c r="D50" s="3" t="s">
        <v>15</v>
      </c>
      <c r="E50" s="9" t="n">
        <v>44978</v>
      </c>
      <c r="F50" s="8" t="str">
        <f aca="false">HYPERLINK("https://mncourtfraud.com/file/MCRO_27-CR-22-24045_Order-Evaluation for Competency to Proceed (Rule 20.01)_2023-02-21_20240429164221.pdf","MCRO_27-CR-22-24045_Order-Evaluation for Competency to Proceed (Rule 20.01)_2023-02-21_20240429164221.pdf")</f>
        <v>MCRO_27-CR-22-24045_Order-Evaluation for Competency to Proceed (Rule 20.01)_2023-02-21_20240429164221.pdf</v>
      </c>
      <c r="G50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50" s="1" t="s">
        <v>1460</v>
      </c>
      <c r="I50" s="3" t="s">
        <v>1493</v>
      </c>
      <c r="J50" s="1" t="s">
        <v>1482</v>
      </c>
      <c r="K50" s="3" t="n">
        <v>3811</v>
      </c>
      <c r="L50" s="15" t="s">
        <v>1487</v>
      </c>
      <c r="M50" s="1" t="s">
        <v>1484</v>
      </c>
      <c r="N50" s="9" t="n">
        <v>44979</v>
      </c>
      <c r="O50" s="10" t="s">
        <v>1494</v>
      </c>
      <c r="P50" s="1" t="n">
        <v>2140</v>
      </c>
      <c r="Q50" s="1" t="n">
        <v>150</v>
      </c>
    </row>
    <row r="51" customFormat="false" ht="18.7" hidden="false" customHeight="true" outlineLevel="0" collapsed="false">
      <c r="A51" s="1" t="n">
        <v>50</v>
      </c>
      <c r="B51" s="7" t="str">
        <f aca="false">HYPERLINK("https://mncourtfraud.com/file/LPK-19.zip","LPK-19.zip")</f>
        <v>LPK-19.zip</v>
      </c>
      <c r="C51" s="8" t="str">
        <f aca="false">HYPERLINK("https://mncourtfraud.com/file/27-CR-23-385.pdf","27-CR-23-385")</f>
        <v>27-CR-23-385</v>
      </c>
      <c r="D51" s="3" t="s">
        <v>15</v>
      </c>
      <c r="E51" s="9" t="n">
        <v>44978</v>
      </c>
      <c r="F51" s="8" t="str">
        <f aca="false">HYPERLINK("https://mncourtfraud.com/file/MCRO_27-CR-23-385_Order-Evaluation for Competency to Proceed (Rule 20.01)_2023-02-21_20240430071838.pdf","MCRO_27-CR-23-385_Order-Evaluation for Competency to Proceed (Rule 20.01)_2023-02-21_20240430071838.pdf")</f>
        <v>MCRO_27-CR-23-385_Order-Evaluation for Competency to Proceed (Rule 20.01)_2023-02-21_20240430071838.pdf</v>
      </c>
      <c r="G51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51" s="1" t="s">
        <v>1460</v>
      </c>
      <c r="I51" s="3" t="s">
        <v>1493</v>
      </c>
      <c r="J51" s="1" t="s">
        <v>1482</v>
      </c>
      <c r="K51" s="3" t="n">
        <v>3811</v>
      </c>
      <c r="L51" s="15" t="s">
        <v>1487</v>
      </c>
      <c r="M51" s="1" t="s">
        <v>1484</v>
      </c>
      <c r="N51" s="9" t="n">
        <v>44979</v>
      </c>
      <c r="O51" s="10" t="s">
        <v>1494</v>
      </c>
      <c r="P51" s="1" t="n">
        <v>2140</v>
      </c>
      <c r="Q51" s="1" t="n">
        <v>150</v>
      </c>
    </row>
    <row r="52" customFormat="false" ht="18.7" hidden="false" customHeight="true" outlineLevel="0" collapsed="false">
      <c r="A52" s="1" t="n">
        <v>51</v>
      </c>
      <c r="B52" s="7" t="str">
        <f aca="false">HYPERLINK("https://mncourtfraud.com/file/LPK-19.zip","LPK-19.zip")</f>
        <v>LPK-19.zip</v>
      </c>
      <c r="C52" s="8" t="str">
        <f aca="false">HYPERLINK("https://mncourtfraud.com/file/27-CR-21-6904.pdf","27-CR-21-6904")</f>
        <v>27-CR-21-6904</v>
      </c>
      <c r="D52" s="3" t="s">
        <v>15</v>
      </c>
      <c r="E52" s="9" t="n">
        <v>44978</v>
      </c>
      <c r="F52" s="8" t="str">
        <f aca="false">HYPERLINK("https://mncourtfraud.com/file/MCRO_27-CR-21-6904_Order-Evaluation for Competency to Proceed (Rule 20.01)_2023-02-21_20240430080457.pdf","MCRO_27-CR-21-6904_Order-Evaluation for Competency to Proceed (Rule 20.01)_2023-02-21_20240430080457.pdf")</f>
        <v>MCRO_27-CR-21-6904_Order-Evaluation for Competency to Proceed (Rule 20.01)_2023-02-21_20240430080457.pdf</v>
      </c>
      <c r="G52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52" s="1" t="s">
        <v>1460</v>
      </c>
      <c r="I52" s="3" t="s">
        <v>1493</v>
      </c>
      <c r="J52" s="1" t="s">
        <v>1482</v>
      </c>
      <c r="K52" s="3" t="n">
        <v>3811</v>
      </c>
      <c r="L52" s="15" t="s">
        <v>1487</v>
      </c>
      <c r="M52" s="1" t="s">
        <v>1484</v>
      </c>
      <c r="N52" s="9" t="n">
        <v>44979</v>
      </c>
      <c r="O52" s="10" t="s">
        <v>1494</v>
      </c>
      <c r="P52" s="1" t="n">
        <v>2140</v>
      </c>
      <c r="Q52" s="1" t="n">
        <v>150</v>
      </c>
    </row>
    <row r="53" customFormat="false" ht="18.7" hidden="false" customHeight="true" outlineLevel="0" collapsed="false">
      <c r="A53" s="1" t="n">
        <v>52</v>
      </c>
      <c r="B53" s="7" t="str">
        <f aca="false">HYPERLINK("https://mncourtfraud.com/file/LPK-19.zip","LPK-19.zip")</f>
        <v>LPK-19.zip</v>
      </c>
      <c r="C53" s="8" t="str">
        <f aca="false">HYPERLINK("https://mncourtfraud.com/file/27-CR-21-8067.pdf","27-CR-21-8067")</f>
        <v>27-CR-21-8067</v>
      </c>
      <c r="D53" s="3" t="s">
        <v>15</v>
      </c>
      <c r="E53" s="9" t="n">
        <v>44978</v>
      </c>
      <c r="F53" s="8" t="str">
        <f aca="false">HYPERLINK("https://mncourtfraud.com/file/MCRO_27-CR-21-8067_Order-Evaluation for Competency to Proceed (Rule 20.01)_2023-02-21_20240430080641.pdf","MCRO_27-CR-21-8067_Order-Evaluation for Competency to Proceed (Rule 20.01)_2023-02-21_20240430080641.pdf")</f>
        <v>MCRO_27-CR-21-8067_Order-Evaluation for Competency to Proceed (Rule 20.01)_2023-02-21_20240430080641.pdf</v>
      </c>
      <c r="G53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53" s="1" t="s">
        <v>1460</v>
      </c>
      <c r="I53" s="3" t="s">
        <v>1493</v>
      </c>
      <c r="J53" s="1" t="s">
        <v>1482</v>
      </c>
      <c r="K53" s="3" t="n">
        <v>3811</v>
      </c>
      <c r="L53" s="15" t="s">
        <v>1487</v>
      </c>
      <c r="M53" s="1" t="s">
        <v>1484</v>
      </c>
      <c r="N53" s="9" t="n">
        <v>44979</v>
      </c>
      <c r="O53" s="10" t="s">
        <v>1494</v>
      </c>
      <c r="P53" s="1" t="n">
        <v>2140</v>
      </c>
      <c r="Q53" s="1" t="n">
        <v>150</v>
      </c>
    </row>
    <row r="54" customFormat="false" ht="18.7" hidden="false" customHeight="true" outlineLevel="0" collapsed="false">
      <c r="A54" s="1" t="n">
        <v>53</v>
      </c>
      <c r="B54" s="7" t="str">
        <f aca="false">HYPERLINK("https://mncourtfraud.com/file/LPK-19.zip","LPK-19.zip")</f>
        <v>LPK-19.zip</v>
      </c>
      <c r="C54" s="8" t="str">
        <f aca="false">HYPERLINK("https://mncourtfraud.com/file/27-CR-21-8227.pdf","27-CR-21-8227")</f>
        <v>27-CR-21-8227</v>
      </c>
      <c r="D54" s="3" t="s">
        <v>15</v>
      </c>
      <c r="E54" s="9" t="n">
        <v>44978</v>
      </c>
      <c r="F54" s="8" t="str">
        <f aca="false">HYPERLINK("https://mncourtfraud.com/file/MCRO_27-CR-21-8227_Order-Evaluation for Competency to Proceed (Rule 20.01)_2023-02-21_20240430080735.pdf","MCRO_27-CR-21-8227_Order-Evaluation for Competency to Proceed (Rule 20.01)_2023-02-21_20240430080735.pdf")</f>
        <v>MCRO_27-CR-21-8227_Order-Evaluation for Competency to Proceed (Rule 20.01)_2023-02-21_20240430080735.pdf</v>
      </c>
      <c r="G54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54" s="1" t="s">
        <v>1460</v>
      </c>
      <c r="I54" s="3" t="s">
        <v>1493</v>
      </c>
      <c r="J54" s="1" t="s">
        <v>1482</v>
      </c>
      <c r="K54" s="3" t="n">
        <v>3811</v>
      </c>
      <c r="L54" s="15" t="s">
        <v>1487</v>
      </c>
      <c r="M54" s="1" t="s">
        <v>1484</v>
      </c>
      <c r="N54" s="9" t="n">
        <v>44979</v>
      </c>
      <c r="O54" s="10" t="s">
        <v>1494</v>
      </c>
      <c r="P54" s="1" t="n">
        <v>2140</v>
      </c>
      <c r="Q54" s="1" t="n">
        <v>150</v>
      </c>
    </row>
    <row r="55" customFormat="false" ht="18.7" hidden="false" customHeight="true" outlineLevel="0" collapsed="false">
      <c r="A55" s="1" t="n">
        <v>54</v>
      </c>
      <c r="B55" s="7" t="str">
        <f aca="false">HYPERLINK("https://mncourtfraud.com/file/LPK-19.zip","LPK-19.zip")</f>
        <v>LPK-19.zip</v>
      </c>
      <c r="C55" s="8" t="str">
        <f aca="false">HYPERLINK("https://mncourtfraud.com/file/27-CR-21-8228.pdf","27-CR-21-8228")</f>
        <v>27-CR-21-8228</v>
      </c>
      <c r="D55" s="3" t="s">
        <v>15</v>
      </c>
      <c r="E55" s="9" t="n">
        <v>44978</v>
      </c>
      <c r="F55" s="8" t="str">
        <f aca="false">HYPERLINK("https://mncourtfraud.com/file/MCRO_27-CR-21-8228_Order-Evaluation for Competency to Proceed (Rule 20.01)_2023-02-21_20240430080828.pdf","MCRO_27-CR-21-8228_Order-Evaluation for Competency to Proceed (Rule 20.01)_2023-02-21_20240430080828.pdf")</f>
        <v>MCRO_27-CR-21-8228_Order-Evaluation for Competency to Proceed (Rule 20.01)_2023-02-21_20240430080828.pdf</v>
      </c>
      <c r="G55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55" s="1" t="s">
        <v>1460</v>
      </c>
      <c r="I55" s="3" t="s">
        <v>1493</v>
      </c>
      <c r="J55" s="1" t="s">
        <v>1482</v>
      </c>
      <c r="K55" s="3" t="n">
        <v>3811</v>
      </c>
      <c r="L55" s="15" t="s">
        <v>1487</v>
      </c>
      <c r="M55" s="1" t="s">
        <v>1484</v>
      </c>
      <c r="N55" s="9" t="n">
        <v>44979</v>
      </c>
      <c r="O55" s="10" t="s">
        <v>1494</v>
      </c>
      <c r="P55" s="1" t="n">
        <v>2140</v>
      </c>
      <c r="Q55" s="1" t="n">
        <v>150</v>
      </c>
    </row>
    <row r="56" customFormat="false" ht="18.7" hidden="false" customHeight="true" outlineLevel="0" collapsed="false">
      <c r="A56" s="1" t="n">
        <v>55</v>
      </c>
      <c r="B56" s="7" t="str">
        <f aca="false">HYPERLINK("https://mncourtfraud.com/file/LPK-19.zip","LPK-19.zip")</f>
        <v>LPK-19.zip</v>
      </c>
      <c r="C56" s="8" t="str">
        <f aca="false">HYPERLINK("https://mncourtfraud.com/file/27-CR-21-8229.pdf","27-CR-21-8229")</f>
        <v>27-CR-21-8229</v>
      </c>
      <c r="D56" s="3" t="s">
        <v>15</v>
      </c>
      <c r="E56" s="9" t="n">
        <v>44978</v>
      </c>
      <c r="F56" s="8" t="str">
        <f aca="false">HYPERLINK("https://mncourtfraud.com/file/MCRO_27-CR-21-8229_Order-Evaluation for Competency to Proceed (Rule 20.01)_2023-02-21_20240430081525.pdf","MCRO_27-CR-21-8229_Order-Evaluation for Competency to Proceed (Rule 20.01)_2023-02-21_20240430081525.pdf")</f>
        <v>MCRO_27-CR-21-8229_Order-Evaluation for Competency to Proceed (Rule 20.01)_2023-02-21_20240430081525.pdf</v>
      </c>
      <c r="G56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56" s="1" t="s">
        <v>1460</v>
      </c>
      <c r="I56" s="3" t="s">
        <v>1493</v>
      </c>
      <c r="J56" s="1" t="s">
        <v>1482</v>
      </c>
      <c r="K56" s="3" t="n">
        <v>3811</v>
      </c>
      <c r="L56" s="15" t="s">
        <v>1487</v>
      </c>
      <c r="M56" s="1" t="s">
        <v>1484</v>
      </c>
      <c r="N56" s="9" t="n">
        <v>44979</v>
      </c>
      <c r="O56" s="10" t="s">
        <v>1494</v>
      </c>
      <c r="P56" s="1" t="n">
        <v>2140</v>
      </c>
      <c r="Q56" s="1" t="n">
        <v>150</v>
      </c>
    </row>
    <row r="57" customFormat="false" ht="18.7" hidden="false" customHeight="true" outlineLevel="0" collapsed="false">
      <c r="A57" s="1" t="n">
        <v>56</v>
      </c>
      <c r="B57" s="7" t="str">
        <f aca="false">HYPERLINK("https://mncourtfraud.com/file/LPK-19.zip","LPK-19.zip")</f>
        <v>LPK-19.zip</v>
      </c>
      <c r="C57" s="8" t="str">
        <f aca="false">HYPERLINK("https://mncourtfraud.com/file/27-CR-21-8230.pdf","27-CR-21-8230")</f>
        <v>27-CR-21-8230</v>
      </c>
      <c r="D57" s="3" t="s">
        <v>15</v>
      </c>
      <c r="E57" s="9" t="n">
        <v>44978</v>
      </c>
      <c r="F57" s="8" t="str">
        <f aca="false">HYPERLINK("https://mncourtfraud.com/file/MCRO_27-CR-21-8230_Order-Evaluation for Competency to Proceed (Rule 20.01)_2023-02-21_20240430081643.pdf","MCRO_27-CR-21-8230_Order-Evaluation for Competency to Proceed (Rule 20.01)_2023-02-21_20240430081643.pdf")</f>
        <v>MCRO_27-CR-21-8230_Order-Evaluation for Competency to Proceed (Rule 20.01)_2023-02-21_20240430081643.pdf</v>
      </c>
      <c r="G57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57" s="1" t="s">
        <v>1460</v>
      </c>
      <c r="I57" s="3" t="s">
        <v>1493</v>
      </c>
      <c r="J57" s="1" t="s">
        <v>1482</v>
      </c>
      <c r="K57" s="3" t="n">
        <v>3811</v>
      </c>
      <c r="L57" s="15" t="s">
        <v>1487</v>
      </c>
      <c r="M57" s="1" t="s">
        <v>1484</v>
      </c>
      <c r="N57" s="9" t="n">
        <v>44979</v>
      </c>
      <c r="O57" s="10" t="s">
        <v>1494</v>
      </c>
      <c r="P57" s="1" t="n">
        <v>2140</v>
      </c>
      <c r="Q57" s="1" t="n">
        <v>150</v>
      </c>
    </row>
    <row r="58" customFormat="false" ht="18.7" hidden="false" customHeight="true" outlineLevel="0" collapsed="false">
      <c r="A58" s="1" t="n">
        <v>57</v>
      </c>
      <c r="B58" s="7" t="str">
        <f aca="false">HYPERLINK("https://mncourtfraud.com/file/LPK-19.zip","LPK-19.zip")</f>
        <v>LPK-19.zip</v>
      </c>
      <c r="C58" s="8" t="str">
        <f aca="false">HYPERLINK("https://mncourtfraud.com/file/27-CR-21-8511.pdf","27-CR-21-8511")</f>
        <v>27-CR-21-8511</v>
      </c>
      <c r="D58" s="3" t="s">
        <v>15</v>
      </c>
      <c r="E58" s="9" t="n">
        <v>44978</v>
      </c>
      <c r="F58" s="8" t="str">
        <f aca="false">HYPERLINK("https://mncourtfraud.com/file/MCRO_27-CR-21-8511_Order-Evaluation for Competency to Proceed (Rule 20.01)_2023-02-21_20240430082016.pdf","MCRO_27-CR-21-8511_Order-Evaluation for Competency to Proceed (Rule 20.01)_2023-02-21_20240430082016.pdf")</f>
        <v>MCRO_27-CR-21-8511_Order-Evaluation for Competency to Proceed (Rule 20.01)_2023-02-21_20240430082016.pdf</v>
      </c>
      <c r="G58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58" s="1" t="s">
        <v>1460</v>
      </c>
      <c r="I58" s="3" t="s">
        <v>1493</v>
      </c>
      <c r="J58" s="1" t="s">
        <v>1482</v>
      </c>
      <c r="K58" s="3" t="n">
        <v>3811</v>
      </c>
      <c r="L58" s="15" t="s">
        <v>1487</v>
      </c>
      <c r="M58" s="1" t="s">
        <v>1484</v>
      </c>
      <c r="N58" s="9" t="n">
        <v>44979</v>
      </c>
      <c r="O58" s="10" t="s">
        <v>1494</v>
      </c>
      <c r="P58" s="1" t="n">
        <v>2140</v>
      </c>
      <c r="Q58" s="1" t="n">
        <v>150</v>
      </c>
    </row>
    <row r="59" customFormat="false" ht="18.7" hidden="false" customHeight="true" outlineLevel="0" collapsed="false">
      <c r="A59" s="1" t="n">
        <v>58</v>
      </c>
      <c r="B59" s="7" t="str">
        <f aca="false">HYPERLINK("https://mncourtfraud.com/file/LPK-19.zip","LPK-19.zip")</f>
        <v>LPK-19.zip</v>
      </c>
      <c r="C59" s="8" t="str">
        <f aca="false">HYPERLINK("https://mncourtfraud.com/file/27-CR-22-17300.pdf","27-CR-22-17300")</f>
        <v>27-CR-22-17300</v>
      </c>
      <c r="D59" s="3" t="s">
        <v>15</v>
      </c>
      <c r="E59" s="9" t="n">
        <v>44978</v>
      </c>
      <c r="F59" s="8" t="str">
        <f aca="false">HYPERLINK("https://mncourtfraud.com/file/MCRO_27-CR-22-17300_Order-Evaluation for Competency to Proceed (Rule 20.01)_2023-02-21_20240429162005.pdf","MCRO_27-CR-22-17300_Order-Evaluation for Competency to Proceed (Rule 20.01)_2023-02-21_20240429162005.pdf")</f>
        <v>MCRO_27-CR-22-17300_Order-Evaluation for Competency to Proceed (Rule 20.01)_2023-02-21_20240429162005.pdf</v>
      </c>
      <c r="G59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59" s="1" t="s">
        <v>1460</v>
      </c>
      <c r="I59" s="3" t="s">
        <v>1493</v>
      </c>
      <c r="J59" s="1" t="s">
        <v>1482</v>
      </c>
      <c r="K59" s="3" t="n">
        <v>3811</v>
      </c>
      <c r="L59" s="15" t="s">
        <v>1487</v>
      </c>
      <c r="M59" s="1" t="s">
        <v>1484</v>
      </c>
      <c r="N59" s="9" t="n">
        <v>44979</v>
      </c>
      <c r="O59" s="10" t="s">
        <v>1494</v>
      </c>
      <c r="P59" s="1" t="n">
        <v>2140</v>
      </c>
      <c r="Q59" s="1" t="n">
        <v>150</v>
      </c>
    </row>
    <row r="60" customFormat="false" ht="18.7" hidden="false" customHeight="true" outlineLevel="0" collapsed="false">
      <c r="A60" s="1" t="n">
        <v>59</v>
      </c>
      <c r="B60" s="7" t="str">
        <f aca="false">HYPERLINK("https://mncourtfraud.com/file/LPK-19.zip","LPK-19.zip")</f>
        <v>LPK-19.zip</v>
      </c>
      <c r="C60" s="8" t="str">
        <f aca="false">HYPERLINK("https://mncourtfraud.com/file/27-CR-22-21679.pdf","27-CR-22-21679")</f>
        <v>27-CR-22-21679</v>
      </c>
      <c r="D60" s="3" t="s">
        <v>15</v>
      </c>
      <c r="E60" s="9" t="n">
        <v>44978</v>
      </c>
      <c r="F60" s="8" t="str">
        <f aca="false">HYPERLINK("https://mncourtfraud.com/file/MCRO_27-CR-22-21679_Order-Evaluation for Competency to Proceed (Rule 20.01)_2023-02-21_20240429162900.pdf","MCRO_27-CR-22-21679_Order-Evaluation for Competency to Proceed (Rule 20.01)_2023-02-21_20240429162900.pdf")</f>
        <v>MCRO_27-CR-22-21679_Order-Evaluation for Competency to Proceed (Rule 20.01)_2023-02-21_20240429162900.pdf</v>
      </c>
      <c r="G60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60" s="1" t="s">
        <v>1460</v>
      </c>
      <c r="I60" s="3" t="s">
        <v>1493</v>
      </c>
      <c r="J60" s="1" t="s">
        <v>1482</v>
      </c>
      <c r="K60" s="3" t="n">
        <v>3811</v>
      </c>
      <c r="L60" s="15" t="s">
        <v>1487</v>
      </c>
      <c r="M60" s="1" t="s">
        <v>1484</v>
      </c>
      <c r="N60" s="9" t="n">
        <v>44979</v>
      </c>
      <c r="O60" s="10" t="s">
        <v>1494</v>
      </c>
      <c r="P60" s="1" t="n">
        <v>2140</v>
      </c>
      <c r="Q60" s="1" t="n">
        <v>150</v>
      </c>
    </row>
    <row r="61" customFormat="false" ht="18.7" hidden="false" customHeight="true" outlineLevel="0" collapsed="false">
      <c r="A61" s="1" t="n">
        <v>60</v>
      </c>
      <c r="B61" s="7" t="str">
        <f aca="false">HYPERLINK("https://mncourtfraud.com/file/LPK-19.zip","LPK-19.zip")</f>
        <v>LPK-19.zip</v>
      </c>
      <c r="C61" s="8" t="str">
        <f aca="false">HYPERLINK("https://mncourtfraud.com/file/27-CR-22-24045.pdf","27-CR-22-24045")</f>
        <v>27-CR-22-24045</v>
      </c>
      <c r="D61" s="3" t="s">
        <v>15</v>
      </c>
      <c r="E61" s="9" t="n">
        <v>44978</v>
      </c>
      <c r="F61" s="8" t="str">
        <f aca="false">HYPERLINK("https://mncourtfraud.com/file/MCRO_27-CR-22-24045_Order-Evaluation for Competency to Proceed (Rule 20.01)_2023-02-21_20240429164221.pdf","MCRO_27-CR-22-24045_Order-Evaluation for Competency to Proceed (Rule 20.01)_2023-02-21_20240429164221.pdf")</f>
        <v>MCRO_27-CR-22-24045_Order-Evaluation for Competency to Proceed (Rule 20.01)_2023-02-21_20240429164221.pdf</v>
      </c>
      <c r="G61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61" s="1" t="s">
        <v>1460</v>
      </c>
      <c r="I61" s="3" t="s">
        <v>1493</v>
      </c>
      <c r="J61" s="1" t="s">
        <v>1482</v>
      </c>
      <c r="K61" s="3" t="n">
        <v>3811</v>
      </c>
      <c r="L61" s="15" t="s">
        <v>1487</v>
      </c>
      <c r="M61" s="1" t="s">
        <v>1484</v>
      </c>
      <c r="N61" s="9" t="n">
        <v>44979</v>
      </c>
      <c r="O61" s="10" t="s">
        <v>1494</v>
      </c>
      <c r="P61" s="1" t="n">
        <v>2140</v>
      </c>
      <c r="Q61" s="1" t="n">
        <v>150</v>
      </c>
    </row>
    <row r="62" customFormat="false" ht="18.7" hidden="false" customHeight="true" outlineLevel="0" collapsed="false">
      <c r="A62" s="1" t="n">
        <v>61</v>
      </c>
      <c r="B62" s="7" t="str">
        <f aca="false">HYPERLINK("https://mncourtfraud.com/file/LPK-19.zip","LPK-19.zip")</f>
        <v>LPK-19.zip</v>
      </c>
      <c r="C62" s="8" t="str">
        <f aca="false">HYPERLINK("https://mncourtfraud.com/file/27-CR-23-385.pdf","27-CR-23-385")</f>
        <v>27-CR-23-385</v>
      </c>
      <c r="D62" s="3" t="s">
        <v>15</v>
      </c>
      <c r="E62" s="9" t="n">
        <v>44978</v>
      </c>
      <c r="F62" s="8" t="str">
        <f aca="false">HYPERLINK("https://mncourtfraud.com/file/MCRO_27-CR-23-385_Order-Evaluation for Competency to Proceed (Rule 20.01)_2023-02-21_20240430071838.pdf","MCRO_27-CR-23-385_Order-Evaluation for Competency to Proceed (Rule 20.01)_2023-02-21_20240430071838.pdf")</f>
        <v>MCRO_27-CR-23-385_Order-Evaluation for Competency to Proceed (Rule 20.01)_2023-02-21_20240430071838.pdf</v>
      </c>
      <c r="G62" s="8" t="str">
        <f aca="false">HYPERLINK("https://mncourtfraud.com/file/c02cb36561816b60b7dd68cb6e58193bd604ddb2ed2141cc3f3e71d7a46fa211.png","c02cb36561816b60b7dd68cb6e58193bd604ddb2ed2141cc3f3e71d7a46fa211")</f>
        <v>c02cb36561816b60b7dd68cb6e58193bd604ddb2ed2141cc3f3e71d7a46fa211</v>
      </c>
      <c r="H62" s="1" t="s">
        <v>1460</v>
      </c>
      <c r="I62" s="3" t="s">
        <v>1493</v>
      </c>
      <c r="J62" s="1" t="s">
        <v>1482</v>
      </c>
      <c r="K62" s="3" t="n">
        <v>3811</v>
      </c>
      <c r="L62" s="15" t="s">
        <v>1487</v>
      </c>
      <c r="M62" s="1" t="s">
        <v>1484</v>
      </c>
      <c r="N62" s="9" t="n">
        <v>44979</v>
      </c>
      <c r="O62" s="10" t="s">
        <v>1494</v>
      </c>
      <c r="P62" s="1" t="n">
        <v>2140</v>
      </c>
      <c r="Q62" s="1" t="n">
        <v>150</v>
      </c>
    </row>
    <row r="63" customFormat="false" ht="18.7" hidden="false" customHeight="true" outlineLevel="0" collapsed="false">
      <c r="A63" s="1" t="n">
        <v>62</v>
      </c>
      <c r="E63" s="9"/>
      <c r="K63" s="3"/>
      <c r="L63" s="15"/>
      <c r="N63" s="9"/>
      <c r="O63" s="10"/>
      <c r="P63" s="1"/>
      <c r="Q63" s="1"/>
    </row>
    <row r="64" customFormat="false" ht="18.7" hidden="false" customHeight="true" outlineLevel="0" collapsed="false">
      <c r="A64" s="1" t="n">
        <v>63</v>
      </c>
      <c r="B64" s="7" t="str">
        <f aca="false">HYPERLINK("https://mncourtfraud.com/file/LPK-20.zip","LPK-20.zip")</f>
        <v>LPK-20.zip</v>
      </c>
      <c r="C64" s="8" t="str">
        <f aca="false">HYPERLINK("https://mncourtfraud.com/file/27-CR-21-6904.pdf","27-CR-21-6904")</f>
        <v>27-CR-21-6904</v>
      </c>
      <c r="D64" s="3" t="s">
        <v>15</v>
      </c>
      <c r="E64" s="9" t="n">
        <v>45048</v>
      </c>
      <c r="F64" s="8" t="str">
        <f aca="false">HYPERLINK("https://mncourtfraud.com/file/MCRO_27-CR-21-6904_Finding of Incompetency and Order_2023-05-02_20240430080456.pdf","MCRO_27-CR-21-6904_Finding of Incompetency and Order_2023-05-02_20240430080456.pdf")</f>
        <v>MCRO_27-CR-21-6904_Finding of Incompetency and Order_2023-05-02_20240430080456.pdf</v>
      </c>
      <c r="G64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64" s="1" t="s">
        <v>1460</v>
      </c>
      <c r="I64" s="3" t="s">
        <v>1495</v>
      </c>
      <c r="J64" s="1" t="s">
        <v>1482</v>
      </c>
      <c r="K64" s="3" t="n">
        <v>3355</v>
      </c>
      <c r="L64" s="15" t="s">
        <v>1496</v>
      </c>
      <c r="M64" s="1" t="s">
        <v>1484</v>
      </c>
      <c r="N64" s="9" t="n">
        <v>45048</v>
      </c>
      <c r="O64" s="10" t="s">
        <v>1497</v>
      </c>
      <c r="P64" s="1" t="n">
        <v>1600</v>
      </c>
      <c r="Q64" s="1" t="n">
        <v>140</v>
      </c>
    </row>
    <row r="65" customFormat="false" ht="18.7" hidden="false" customHeight="true" outlineLevel="0" collapsed="false">
      <c r="A65" s="1" t="n">
        <v>64</v>
      </c>
      <c r="B65" s="7" t="str">
        <f aca="false">HYPERLINK("https://mncourtfraud.com/file/LPK-20.zip","LPK-20.zip")</f>
        <v>LPK-20.zip</v>
      </c>
      <c r="C65" s="8" t="str">
        <f aca="false">HYPERLINK("https://mncourtfraud.com/file/27-CR-21-8067.pdf","27-CR-21-8067")</f>
        <v>27-CR-21-8067</v>
      </c>
      <c r="D65" s="3" t="s">
        <v>15</v>
      </c>
      <c r="E65" s="9" t="n">
        <v>45048</v>
      </c>
      <c r="F65" s="8" t="str">
        <f aca="false">HYPERLINK("https://mncourtfraud.com/file/MCRO_27-CR-21-8067_Finding of Incompetency and Order_2023-05-02_20240430080639.pdf","MCRO_27-CR-21-8067_Finding of Incompetency and Order_2023-05-02_20240430080639.pdf")</f>
        <v>MCRO_27-CR-21-8067_Finding of Incompetency and Order_2023-05-02_20240430080639.pdf</v>
      </c>
      <c r="G65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65" s="1" t="s">
        <v>1460</v>
      </c>
      <c r="I65" s="3" t="s">
        <v>1495</v>
      </c>
      <c r="J65" s="1" t="s">
        <v>1482</v>
      </c>
      <c r="K65" s="3" t="n">
        <v>3355</v>
      </c>
      <c r="L65" s="15" t="s">
        <v>1496</v>
      </c>
      <c r="M65" s="1" t="s">
        <v>1484</v>
      </c>
      <c r="N65" s="9" t="n">
        <v>45048</v>
      </c>
      <c r="O65" s="10" t="s">
        <v>1497</v>
      </c>
      <c r="P65" s="1" t="n">
        <v>1600</v>
      </c>
      <c r="Q65" s="1" t="n">
        <v>140</v>
      </c>
    </row>
    <row r="66" customFormat="false" ht="18.7" hidden="false" customHeight="true" outlineLevel="0" collapsed="false">
      <c r="A66" s="1" t="n">
        <v>65</v>
      </c>
      <c r="B66" s="7" t="str">
        <f aca="false">HYPERLINK("https://mncourtfraud.com/file/LPK-20.zip","LPK-20.zip")</f>
        <v>LPK-20.zip</v>
      </c>
      <c r="C66" s="8" t="str">
        <f aca="false">HYPERLINK("https://mncourtfraud.com/file/27-CR-21-8227.pdf","27-CR-21-8227")</f>
        <v>27-CR-21-8227</v>
      </c>
      <c r="D66" s="3" t="s">
        <v>15</v>
      </c>
      <c r="E66" s="9" t="n">
        <v>45048</v>
      </c>
      <c r="F66" s="8" t="str">
        <f aca="false">HYPERLINK("https://mncourtfraud.com/file/MCRO_27-CR-21-8227_Finding of Incompetency and Order_2023-05-02_20240430080732.pdf","MCRO_27-CR-21-8227_Finding of Incompetency and Order_2023-05-02_20240430080732.pdf")</f>
        <v>MCRO_27-CR-21-8227_Finding of Incompetency and Order_2023-05-02_20240430080732.pdf</v>
      </c>
      <c r="G66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66" s="1" t="s">
        <v>1460</v>
      </c>
      <c r="I66" s="3" t="s">
        <v>1495</v>
      </c>
      <c r="J66" s="1" t="s">
        <v>1482</v>
      </c>
      <c r="K66" s="3" t="n">
        <v>3355</v>
      </c>
      <c r="L66" s="15" t="s">
        <v>1496</v>
      </c>
      <c r="M66" s="1" t="s">
        <v>1484</v>
      </c>
      <c r="N66" s="9" t="n">
        <v>45048</v>
      </c>
      <c r="O66" s="10" t="s">
        <v>1497</v>
      </c>
      <c r="P66" s="1" t="n">
        <v>1600</v>
      </c>
      <c r="Q66" s="1" t="n">
        <v>140</v>
      </c>
    </row>
    <row r="67" customFormat="false" ht="18.7" hidden="false" customHeight="true" outlineLevel="0" collapsed="false">
      <c r="A67" s="1" t="n">
        <v>66</v>
      </c>
      <c r="B67" s="7" t="str">
        <f aca="false">HYPERLINK("https://mncourtfraud.com/file/LPK-20.zip","LPK-20.zip")</f>
        <v>LPK-20.zip</v>
      </c>
      <c r="C67" s="8" t="str">
        <f aca="false">HYPERLINK("https://mncourtfraud.com/file/27-CR-21-8228.pdf","27-CR-21-8228")</f>
        <v>27-CR-21-8228</v>
      </c>
      <c r="D67" s="3" t="s">
        <v>15</v>
      </c>
      <c r="E67" s="9" t="n">
        <v>45048</v>
      </c>
      <c r="F67" s="8" t="str">
        <f aca="false">HYPERLINK("https://mncourtfraud.com/file/MCRO_27-CR-21-8228_Finding of Incompetency and Order_2023-05-02_20240430080825.pdf","MCRO_27-CR-21-8228_Finding of Incompetency and Order_2023-05-02_20240430080825.pdf")</f>
        <v>MCRO_27-CR-21-8228_Finding of Incompetency and Order_2023-05-02_20240430080825.pdf</v>
      </c>
      <c r="G67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67" s="1" t="s">
        <v>1460</v>
      </c>
      <c r="I67" s="3" t="s">
        <v>1495</v>
      </c>
      <c r="J67" s="1" t="s">
        <v>1482</v>
      </c>
      <c r="K67" s="3" t="n">
        <v>3355</v>
      </c>
      <c r="L67" s="15" t="s">
        <v>1496</v>
      </c>
      <c r="M67" s="1" t="s">
        <v>1484</v>
      </c>
      <c r="N67" s="9" t="n">
        <v>45048</v>
      </c>
      <c r="O67" s="10" t="s">
        <v>1497</v>
      </c>
      <c r="P67" s="1" t="n">
        <v>1600</v>
      </c>
      <c r="Q67" s="1" t="n">
        <v>140</v>
      </c>
    </row>
    <row r="68" customFormat="false" ht="18.7" hidden="false" customHeight="true" outlineLevel="0" collapsed="false">
      <c r="A68" s="1" t="n">
        <v>67</v>
      </c>
      <c r="B68" s="7" t="str">
        <f aca="false">HYPERLINK("https://mncourtfraud.com/file/LPK-20.zip","LPK-20.zip")</f>
        <v>LPK-20.zip</v>
      </c>
      <c r="C68" s="8" t="str">
        <f aca="false">HYPERLINK("https://mncourtfraud.com/file/27-CR-21-8229.pdf","27-CR-21-8229")</f>
        <v>27-CR-21-8229</v>
      </c>
      <c r="D68" s="3" t="s">
        <v>15</v>
      </c>
      <c r="E68" s="9" t="n">
        <v>45048</v>
      </c>
      <c r="F68" s="8" t="str">
        <f aca="false">HYPERLINK("https://mncourtfraud.com/file/MCRO_27-CR-21-8229_Finding of Incompetency and Order_2023-05-02_20240430081522.pdf","MCRO_27-CR-21-8229_Finding of Incompetency and Order_2023-05-02_20240430081522.pdf")</f>
        <v>MCRO_27-CR-21-8229_Finding of Incompetency and Order_2023-05-02_20240430081522.pdf</v>
      </c>
      <c r="G68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68" s="1" t="s">
        <v>1460</v>
      </c>
      <c r="I68" s="3" t="s">
        <v>1495</v>
      </c>
      <c r="J68" s="1" t="s">
        <v>1482</v>
      </c>
      <c r="K68" s="3" t="n">
        <v>3355</v>
      </c>
      <c r="L68" s="15" t="s">
        <v>1496</v>
      </c>
      <c r="M68" s="1" t="s">
        <v>1484</v>
      </c>
      <c r="N68" s="9" t="n">
        <v>45048</v>
      </c>
      <c r="O68" s="10" t="s">
        <v>1497</v>
      </c>
      <c r="P68" s="1" t="n">
        <v>1600</v>
      </c>
      <c r="Q68" s="1" t="n">
        <v>140</v>
      </c>
    </row>
    <row r="69" customFormat="false" ht="18.7" hidden="false" customHeight="true" outlineLevel="0" collapsed="false">
      <c r="A69" s="1" t="n">
        <v>68</v>
      </c>
      <c r="B69" s="7" t="str">
        <f aca="false">HYPERLINK("https://mncourtfraud.com/file/LPK-20.zip","LPK-20.zip")</f>
        <v>LPK-20.zip</v>
      </c>
      <c r="C69" s="8" t="str">
        <f aca="false">HYPERLINK("https://mncourtfraud.com/file/27-CR-21-8230.pdf","27-CR-21-8230")</f>
        <v>27-CR-21-8230</v>
      </c>
      <c r="D69" s="3" t="s">
        <v>15</v>
      </c>
      <c r="E69" s="9" t="n">
        <v>45048</v>
      </c>
      <c r="F69" s="8" t="str">
        <f aca="false">HYPERLINK("https://mncourtfraud.com/file/MCRO_27-CR-21-8230_Finding of Incompetency and Order_2023-05-02_20240430081640.pdf","MCRO_27-CR-21-8230_Finding of Incompetency and Order_2023-05-02_20240430081640.pdf")</f>
        <v>MCRO_27-CR-21-8230_Finding of Incompetency and Order_2023-05-02_20240430081640.pdf</v>
      </c>
      <c r="G69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69" s="1" t="s">
        <v>1460</v>
      </c>
      <c r="I69" s="3" t="s">
        <v>1495</v>
      </c>
      <c r="J69" s="1" t="s">
        <v>1482</v>
      </c>
      <c r="K69" s="3" t="n">
        <v>3355</v>
      </c>
      <c r="L69" s="15" t="s">
        <v>1496</v>
      </c>
      <c r="M69" s="1" t="s">
        <v>1484</v>
      </c>
      <c r="N69" s="9" t="n">
        <v>45048</v>
      </c>
      <c r="O69" s="10" t="s">
        <v>1497</v>
      </c>
      <c r="P69" s="1" t="n">
        <v>1600</v>
      </c>
      <c r="Q69" s="1" t="n">
        <v>140</v>
      </c>
    </row>
    <row r="70" customFormat="false" ht="18.7" hidden="false" customHeight="true" outlineLevel="0" collapsed="false">
      <c r="A70" s="1" t="n">
        <v>69</v>
      </c>
      <c r="B70" s="7" t="str">
        <f aca="false">HYPERLINK("https://mncourtfraud.com/file/LPK-20.zip","LPK-20.zip")</f>
        <v>LPK-20.zip</v>
      </c>
      <c r="C70" s="8" t="str">
        <f aca="false">HYPERLINK("https://mncourtfraud.com/file/27-CR-21-8511.pdf","27-CR-21-8511")</f>
        <v>27-CR-21-8511</v>
      </c>
      <c r="D70" s="3" t="s">
        <v>15</v>
      </c>
      <c r="E70" s="9" t="n">
        <v>45048</v>
      </c>
      <c r="F70" s="8" t="str">
        <f aca="false">HYPERLINK("https://mncourtfraud.com/file/MCRO_27-CR-21-8511_Finding of Incompetency and Order_2023-05-02_20240430082013.pdf","MCRO_27-CR-21-8511_Finding of Incompetency and Order_2023-05-02_20240430082013.pdf")</f>
        <v>MCRO_27-CR-21-8511_Finding of Incompetency and Order_2023-05-02_20240430082013.pdf</v>
      </c>
      <c r="G70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70" s="1" t="s">
        <v>1460</v>
      </c>
      <c r="I70" s="3" t="s">
        <v>1495</v>
      </c>
      <c r="J70" s="1" t="s">
        <v>1482</v>
      </c>
      <c r="K70" s="3" t="n">
        <v>3355</v>
      </c>
      <c r="L70" s="15" t="s">
        <v>1496</v>
      </c>
      <c r="M70" s="1" t="s">
        <v>1484</v>
      </c>
      <c r="N70" s="9" t="n">
        <v>45048</v>
      </c>
      <c r="O70" s="10" t="s">
        <v>1497</v>
      </c>
      <c r="P70" s="1" t="n">
        <v>1600</v>
      </c>
      <c r="Q70" s="1" t="n">
        <v>140</v>
      </c>
    </row>
    <row r="71" customFormat="false" ht="18.7" hidden="false" customHeight="true" outlineLevel="0" collapsed="false">
      <c r="A71" s="1" t="n">
        <v>70</v>
      </c>
      <c r="B71" s="7" t="str">
        <f aca="false">HYPERLINK("https://mncourtfraud.com/file/LPK-20.zip","LPK-20.zip")</f>
        <v>LPK-20.zip</v>
      </c>
      <c r="C71" s="8" t="str">
        <f aca="false">HYPERLINK("https://mncourtfraud.com/file/27-CR-22-17300.pdf","27-CR-22-17300")</f>
        <v>27-CR-22-17300</v>
      </c>
      <c r="D71" s="3" t="s">
        <v>15</v>
      </c>
      <c r="E71" s="9" t="n">
        <v>45048</v>
      </c>
      <c r="F71" s="8" t="str">
        <f aca="false">HYPERLINK("https://mncourtfraud.com/file/MCRO_27-CR-22-17300_Finding of Incompetency and Order_2023-05-02_20240429162002.pdf","MCRO_27-CR-22-17300_Finding of Incompetency and Order_2023-05-02_20240429162002.pdf")</f>
        <v>MCRO_27-CR-22-17300_Finding of Incompetency and Order_2023-05-02_20240429162002.pdf</v>
      </c>
      <c r="G71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71" s="1" t="s">
        <v>1460</v>
      </c>
      <c r="I71" s="3" t="s">
        <v>1495</v>
      </c>
      <c r="J71" s="1" t="s">
        <v>1482</v>
      </c>
      <c r="K71" s="3" t="n">
        <v>3355</v>
      </c>
      <c r="L71" s="15" t="s">
        <v>1496</v>
      </c>
      <c r="M71" s="1" t="s">
        <v>1484</v>
      </c>
      <c r="N71" s="9" t="n">
        <v>45048</v>
      </c>
      <c r="O71" s="10" t="s">
        <v>1497</v>
      </c>
      <c r="P71" s="1" t="n">
        <v>1600</v>
      </c>
      <c r="Q71" s="1" t="n">
        <v>140</v>
      </c>
    </row>
    <row r="72" customFormat="false" ht="18.7" hidden="false" customHeight="true" outlineLevel="0" collapsed="false">
      <c r="A72" s="1" t="n">
        <v>71</v>
      </c>
      <c r="B72" s="7" t="str">
        <f aca="false">HYPERLINK("https://mncourtfraud.com/file/LPK-20.zip","LPK-20.zip")</f>
        <v>LPK-20.zip</v>
      </c>
      <c r="C72" s="8" t="str">
        <f aca="false">HYPERLINK("https://mncourtfraud.com/file/27-CR-22-21679.pdf","27-CR-22-21679")</f>
        <v>27-CR-22-21679</v>
      </c>
      <c r="D72" s="3" t="s">
        <v>15</v>
      </c>
      <c r="E72" s="9" t="n">
        <v>45048</v>
      </c>
      <c r="F72" s="8" t="str">
        <f aca="false">HYPERLINK("https://mncourtfraud.com/file/MCRO_27-CR-22-21679_Finding of Incompetency and Order_2023-05-02_20240429162858.pdf","MCRO_27-CR-22-21679_Finding of Incompetency and Order_2023-05-02_20240429162858.pdf")</f>
        <v>MCRO_27-CR-22-21679_Finding of Incompetency and Order_2023-05-02_20240429162858.pdf</v>
      </c>
      <c r="G72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72" s="1" t="s">
        <v>1460</v>
      </c>
      <c r="I72" s="3" t="s">
        <v>1495</v>
      </c>
      <c r="J72" s="1" t="s">
        <v>1482</v>
      </c>
      <c r="K72" s="3" t="n">
        <v>3355</v>
      </c>
      <c r="L72" s="15" t="s">
        <v>1496</v>
      </c>
      <c r="M72" s="1" t="s">
        <v>1484</v>
      </c>
      <c r="N72" s="9" t="n">
        <v>45048</v>
      </c>
      <c r="O72" s="10" t="s">
        <v>1497</v>
      </c>
      <c r="P72" s="1" t="n">
        <v>1600</v>
      </c>
      <c r="Q72" s="1" t="n">
        <v>140</v>
      </c>
    </row>
    <row r="73" customFormat="false" ht="18.7" hidden="false" customHeight="true" outlineLevel="0" collapsed="false">
      <c r="A73" s="1" t="n">
        <v>72</v>
      </c>
      <c r="B73" s="7" t="str">
        <f aca="false">HYPERLINK("https://mncourtfraud.com/file/LPK-20.zip","LPK-20.zip")</f>
        <v>LPK-20.zip</v>
      </c>
      <c r="C73" s="8" t="str">
        <f aca="false">HYPERLINK("https://mncourtfraud.com/file/27-CR-22-24045.pdf","27-CR-22-24045")</f>
        <v>27-CR-22-24045</v>
      </c>
      <c r="D73" s="3" t="s">
        <v>15</v>
      </c>
      <c r="E73" s="9" t="n">
        <v>45048</v>
      </c>
      <c r="F73" s="8" t="str">
        <f aca="false">HYPERLINK("https://mncourtfraud.com/file/MCRO_27-CR-22-24045_Finding of Incompetency and Order_2023-05-02_20240429164219.pdf","MCRO_27-CR-22-24045_Finding of Incompetency and Order_2023-05-02_20240429164219.pdf")</f>
        <v>MCRO_27-CR-22-24045_Finding of Incompetency and Order_2023-05-02_20240429164219.pdf</v>
      </c>
      <c r="G73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73" s="1" t="s">
        <v>1460</v>
      </c>
      <c r="I73" s="3" t="s">
        <v>1495</v>
      </c>
      <c r="J73" s="1" t="s">
        <v>1482</v>
      </c>
      <c r="K73" s="3" t="n">
        <v>3355</v>
      </c>
      <c r="L73" s="15" t="s">
        <v>1496</v>
      </c>
      <c r="M73" s="1" t="s">
        <v>1484</v>
      </c>
      <c r="N73" s="9" t="n">
        <v>45048</v>
      </c>
      <c r="O73" s="10" t="s">
        <v>1497</v>
      </c>
      <c r="P73" s="1" t="n">
        <v>1600</v>
      </c>
      <c r="Q73" s="1" t="n">
        <v>140</v>
      </c>
    </row>
    <row r="74" customFormat="false" ht="18.7" hidden="false" customHeight="true" outlineLevel="0" collapsed="false">
      <c r="A74" s="1" t="n">
        <v>73</v>
      </c>
      <c r="B74" s="7" t="str">
        <f aca="false">HYPERLINK("https://mncourtfraud.com/file/LPK-20.zip","LPK-20.zip")</f>
        <v>LPK-20.zip</v>
      </c>
      <c r="C74" s="8" t="str">
        <f aca="false">HYPERLINK("https://mncourtfraud.com/file/27-CR-23-385.pdf","27-CR-23-385")</f>
        <v>27-CR-23-385</v>
      </c>
      <c r="D74" s="3" t="s">
        <v>15</v>
      </c>
      <c r="E74" s="9" t="n">
        <v>45048</v>
      </c>
      <c r="F74" s="8" t="str">
        <f aca="false">HYPERLINK("https://mncourtfraud.com/file/MCRO_27-CR-23-385_Finding of Incompetency and Order_2023-05-02_20240430071836.pdf","MCRO_27-CR-23-385_Finding of Incompetency and Order_2023-05-02_20240430071836.pdf")</f>
        <v>MCRO_27-CR-23-385_Finding of Incompetency and Order_2023-05-02_20240430071836.pdf</v>
      </c>
      <c r="G74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74" s="1" t="s">
        <v>1460</v>
      </c>
      <c r="I74" s="3" t="s">
        <v>1495</v>
      </c>
      <c r="J74" s="1" t="s">
        <v>1482</v>
      </c>
      <c r="K74" s="3" t="n">
        <v>3355</v>
      </c>
      <c r="L74" s="15" t="s">
        <v>1496</v>
      </c>
      <c r="M74" s="1" t="s">
        <v>1484</v>
      </c>
      <c r="N74" s="9" t="n">
        <v>45048</v>
      </c>
      <c r="O74" s="10" t="s">
        <v>1497</v>
      </c>
      <c r="P74" s="1" t="n">
        <v>1600</v>
      </c>
      <c r="Q74" s="1" t="n">
        <v>140</v>
      </c>
    </row>
    <row r="75" customFormat="false" ht="18.7" hidden="false" customHeight="true" outlineLevel="0" collapsed="false">
      <c r="A75" s="1" t="n">
        <v>74</v>
      </c>
      <c r="B75" s="7" t="str">
        <f aca="false">HYPERLINK("https://mncourtfraud.com/file/LPK-20.zip","LPK-20.zip")</f>
        <v>LPK-20.zip</v>
      </c>
      <c r="C75" s="8" t="str">
        <f aca="false">HYPERLINK("https://mncourtfraud.com/file/27-CR-23-5751.pdf","27-CR-23-5751")</f>
        <v>27-CR-23-5751</v>
      </c>
      <c r="D75" s="3" t="s">
        <v>15</v>
      </c>
      <c r="E75" s="9" t="n">
        <v>45048</v>
      </c>
      <c r="F75" s="8" t="str">
        <f aca="false">HYPERLINK("https://mncourtfraud.com/file/MCRO_27-CR-23-5751_Finding of Incompetency and Order_2023-05-02_20240430073242.pdf","MCRO_27-CR-23-5751_Finding of Incompetency and Order_2023-05-02_20240430073242.pdf")</f>
        <v>MCRO_27-CR-23-5751_Finding of Incompetency and Order_2023-05-02_20240430073242.pdf</v>
      </c>
      <c r="G75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75" s="1" t="s">
        <v>1460</v>
      </c>
      <c r="I75" s="3" t="s">
        <v>1495</v>
      </c>
      <c r="J75" s="1" t="s">
        <v>1482</v>
      </c>
      <c r="K75" s="3" t="n">
        <v>3355</v>
      </c>
      <c r="L75" s="15" t="s">
        <v>1496</v>
      </c>
      <c r="M75" s="1" t="s">
        <v>1484</v>
      </c>
      <c r="N75" s="9" t="n">
        <v>45048</v>
      </c>
      <c r="O75" s="10" t="s">
        <v>1497</v>
      </c>
      <c r="P75" s="1" t="n">
        <v>1600</v>
      </c>
      <c r="Q75" s="1" t="n">
        <v>140</v>
      </c>
    </row>
    <row r="76" customFormat="false" ht="18.7" hidden="false" customHeight="true" outlineLevel="0" collapsed="false">
      <c r="A76" s="1" t="n">
        <v>75</v>
      </c>
      <c r="B76" s="7" t="str">
        <f aca="false">HYPERLINK("https://mncourtfraud.com/file/LPK-20.zip","LPK-20.zip")</f>
        <v>LPK-20.zip</v>
      </c>
      <c r="C76" s="8" t="str">
        <f aca="false">HYPERLINK("https://mncourtfraud.com/file/27-CR-21-6904.pdf","27-CR-21-6904")</f>
        <v>27-CR-21-6904</v>
      </c>
      <c r="D76" s="3" t="s">
        <v>15</v>
      </c>
      <c r="E76" s="9" t="n">
        <v>45048</v>
      </c>
      <c r="F76" s="8" t="str">
        <f aca="false">HYPERLINK("https://mncourtfraud.com/file/MCRO_27-CR-21-6904_Finding of Incompetency and Order_2023-05-02_20240430080456.pdf","MCRO_27-CR-21-6904_Finding of Incompetency and Order_2023-05-02_20240430080456.pdf")</f>
        <v>MCRO_27-CR-21-6904_Finding of Incompetency and Order_2023-05-02_20240430080456.pdf</v>
      </c>
      <c r="G76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76" s="1" t="s">
        <v>1460</v>
      </c>
      <c r="I76" s="3" t="s">
        <v>1495</v>
      </c>
      <c r="J76" s="1" t="s">
        <v>1482</v>
      </c>
      <c r="K76" s="3" t="n">
        <v>3355</v>
      </c>
      <c r="L76" s="15" t="s">
        <v>1496</v>
      </c>
      <c r="M76" s="1" t="s">
        <v>1484</v>
      </c>
      <c r="N76" s="9" t="n">
        <v>45048</v>
      </c>
      <c r="O76" s="10" t="s">
        <v>1497</v>
      </c>
      <c r="P76" s="1" t="n">
        <v>1600</v>
      </c>
      <c r="Q76" s="1" t="n">
        <v>140</v>
      </c>
    </row>
    <row r="77" customFormat="false" ht="18.7" hidden="false" customHeight="true" outlineLevel="0" collapsed="false">
      <c r="A77" s="1" t="n">
        <v>76</v>
      </c>
      <c r="B77" s="7" t="str">
        <f aca="false">HYPERLINK("https://mncourtfraud.com/file/LPK-20.zip","LPK-20.zip")</f>
        <v>LPK-20.zip</v>
      </c>
      <c r="C77" s="8" t="str">
        <f aca="false">HYPERLINK("https://mncourtfraud.com/file/27-CR-21-8067.pdf","27-CR-21-8067")</f>
        <v>27-CR-21-8067</v>
      </c>
      <c r="D77" s="3" t="s">
        <v>15</v>
      </c>
      <c r="E77" s="9" t="n">
        <v>45048</v>
      </c>
      <c r="F77" s="8" t="str">
        <f aca="false">HYPERLINK("https://mncourtfraud.com/file/MCRO_27-CR-21-8067_Finding of Incompetency and Order_2023-05-02_20240430080639.pdf","MCRO_27-CR-21-8067_Finding of Incompetency and Order_2023-05-02_20240430080639.pdf")</f>
        <v>MCRO_27-CR-21-8067_Finding of Incompetency and Order_2023-05-02_20240430080639.pdf</v>
      </c>
      <c r="G77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77" s="1" t="s">
        <v>1460</v>
      </c>
      <c r="I77" s="3" t="s">
        <v>1495</v>
      </c>
      <c r="J77" s="1" t="s">
        <v>1482</v>
      </c>
      <c r="K77" s="3" t="n">
        <v>3355</v>
      </c>
      <c r="L77" s="15" t="s">
        <v>1496</v>
      </c>
      <c r="M77" s="1" t="s">
        <v>1484</v>
      </c>
      <c r="N77" s="9" t="n">
        <v>45048</v>
      </c>
      <c r="O77" s="10" t="s">
        <v>1497</v>
      </c>
      <c r="P77" s="1" t="n">
        <v>1600</v>
      </c>
      <c r="Q77" s="1" t="n">
        <v>140</v>
      </c>
    </row>
    <row r="78" customFormat="false" ht="18.7" hidden="false" customHeight="true" outlineLevel="0" collapsed="false">
      <c r="A78" s="1" t="n">
        <v>77</v>
      </c>
      <c r="B78" s="7" t="str">
        <f aca="false">HYPERLINK("https://mncourtfraud.com/file/LPK-20.zip","LPK-20.zip")</f>
        <v>LPK-20.zip</v>
      </c>
      <c r="C78" s="8" t="str">
        <f aca="false">HYPERLINK("https://mncourtfraud.com/file/27-CR-21-8227.pdf","27-CR-21-8227")</f>
        <v>27-CR-21-8227</v>
      </c>
      <c r="D78" s="3" t="s">
        <v>15</v>
      </c>
      <c r="E78" s="9" t="n">
        <v>45048</v>
      </c>
      <c r="F78" s="8" t="str">
        <f aca="false">HYPERLINK("https://mncourtfraud.com/file/MCRO_27-CR-21-8227_Finding of Incompetency and Order_2023-05-02_20240430080732.pdf","MCRO_27-CR-21-8227_Finding of Incompetency and Order_2023-05-02_20240430080732.pdf")</f>
        <v>MCRO_27-CR-21-8227_Finding of Incompetency and Order_2023-05-02_20240430080732.pdf</v>
      </c>
      <c r="G78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78" s="1" t="s">
        <v>1460</v>
      </c>
      <c r="I78" s="3" t="s">
        <v>1495</v>
      </c>
      <c r="J78" s="1" t="s">
        <v>1482</v>
      </c>
      <c r="K78" s="3" t="n">
        <v>3355</v>
      </c>
      <c r="L78" s="15" t="s">
        <v>1496</v>
      </c>
      <c r="M78" s="1" t="s">
        <v>1484</v>
      </c>
      <c r="N78" s="9" t="n">
        <v>45048</v>
      </c>
      <c r="O78" s="10" t="s">
        <v>1497</v>
      </c>
      <c r="P78" s="1" t="n">
        <v>1600</v>
      </c>
      <c r="Q78" s="1" t="n">
        <v>140</v>
      </c>
    </row>
    <row r="79" customFormat="false" ht="18.7" hidden="false" customHeight="true" outlineLevel="0" collapsed="false">
      <c r="A79" s="1" t="n">
        <v>78</v>
      </c>
      <c r="B79" s="7" t="str">
        <f aca="false">HYPERLINK("https://mncourtfraud.com/file/LPK-20.zip","LPK-20.zip")</f>
        <v>LPK-20.zip</v>
      </c>
      <c r="C79" s="8" t="str">
        <f aca="false">HYPERLINK("https://mncourtfraud.com/file/27-CR-21-8228.pdf","27-CR-21-8228")</f>
        <v>27-CR-21-8228</v>
      </c>
      <c r="D79" s="3" t="s">
        <v>15</v>
      </c>
      <c r="E79" s="9" t="n">
        <v>45048</v>
      </c>
      <c r="F79" s="8" t="str">
        <f aca="false">HYPERLINK("https://mncourtfraud.com/file/MCRO_27-CR-21-8228_Finding of Incompetency and Order_2023-05-02_20240430080825.pdf","MCRO_27-CR-21-8228_Finding of Incompetency and Order_2023-05-02_20240430080825.pdf")</f>
        <v>MCRO_27-CR-21-8228_Finding of Incompetency and Order_2023-05-02_20240430080825.pdf</v>
      </c>
      <c r="G79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79" s="1" t="s">
        <v>1460</v>
      </c>
      <c r="I79" s="3" t="s">
        <v>1495</v>
      </c>
      <c r="J79" s="1" t="s">
        <v>1482</v>
      </c>
      <c r="K79" s="3" t="n">
        <v>3355</v>
      </c>
      <c r="L79" s="15" t="s">
        <v>1496</v>
      </c>
      <c r="M79" s="1" t="s">
        <v>1484</v>
      </c>
      <c r="N79" s="9" t="n">
        <v>45048</v>
      </c>
      <c r="O79" s="10" t="s">
        <v>1497</v>
      </c>
      <c r="P79" s="1" t="n">
        <v>1600</v>
      </c>
      <c r="Q79" s="1" t="n">
        <v>140</v>
      </c>
    </row>
    <row r="80" customFormat="false" ht="18.7" hidden="false" customHeight="true" outlineLevel="0" collapsed="false">
      <c r="A80" s="1" t="n">
        <v>79</v>
      </c>
      <c r="B80" s="7" t="str">
        <f aca="false">HYPERLINK("https://mncourtfraud.com/file/LPK-20.zip","LPK-20.zip")</f>
        <v>LPK-20.zip</v>
      </c>
      <c r="C80" s="8" t="str">
        <f aca="false">HYPERLINK("https://mncourtfraud.com/file/27-CR-21-8229.pdf","27-CR-21-8229")</f>
        <v>27-CR-21-8229</v>
      </c>
      <c r="D80" s="3" t="s">
        <v>15</v>
      </c>
      <c r="E80" s="9" t="n">
        <v>45048</v>
      </c>
      <c r="F80" s="8" t="str">
        <f aca="false">HYPERLINK("https://mncourtfraud.com/file/MCRO_27-CR-21-8229_Finding of Incompetency and Order_2023-05-02_20240430081522.pdf","MCRO_27-CR-21-8229_Finding of Incompetency and Order_2023-05-02_20240430081522.pdf")</f>
        <v>MCRO_27-CR-21-8229_Finding of Incompetency and Order_2023-05-02_20240430081522.pdf</v>
      </c>
      <c r="G80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80" s="1" t="s">
        <v>1460</v>
      </c>
      <c r="I80" s="3" t="s">
        <v>1495</v>
      </c>
      <c r="J80" s="1" t="s">
        <v>1482</v>
      </c>
      <c r="K80" s="3" t="n">
        <v>3355</v>
      </c>
      <c r="L80" s="15" t="s">
        <v>1496</v>
      </c>
      <c r="M80" s="1" t="s">
        <v>1484</v>
      </c>
      <c r="N80" s="9" t="n">
        <v>45048</v>
      </c>
      <c r="O80" s="10" t="s">
        <v>1497</v>
      </c>
      <c r="P80" s="1" t="n">
        <v>1600</v>
      </c>
      <c r="Q80" s="1" t="n">
        <v>140</v>
      </c>
    </row>
    <row r="81" customFormat="false" ht="18.7" hidden="false" customHeight="true" outlineLevel="0" collapsed="false">
      <c r="A81" s="1" t="n">
        <v>80</v>
      </c>
      <c r="B81" s="7" t="str">
        <f aca="false">HYPERLINK("https://mncourtfraud.com/file/LPK-20.zip","LPK-20.zip")</f>
        <v>LPK-20.zip</v>
      </c>
      <c r="C81" s="8" t="str">
        <f aca="false">HYPERLINK("https://mncourtfraud.com/file/27-CR-21-8230.pdf","27-CR-21-8230")</f>
        <v>27-CR-21-8230</v>
      </c>
      <c r="D81" s="3" t="s">
        <v>15</v>
      </c>
      <c r="E81" s="9" t="n">
        <v>45048</v>
      </c>
      <c r="F81" s="8" t="str">
        <f aca="false">HYPERLINK("https://mncourtfraud.com/file/MCRO_27-CR-21-8230_Finding of Incompetency and Order_2023-05-02_20240430081640.pdf","MCRO_27-CR-21-8230_Finding of Incompetency and Order_2023-05-02_20240430081640.pdf")</f>
        <v>MCRO_27-CR-21-8230_Finding of Incompetency and Order_2023-05-02_20240430081640.pdf</v>
      </c>
      <c r="G81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81" s="1" t="s">
        <v>1460</v>
      </c>
      <c r="I81" s="3" t="s">
        <v>1495</v>
      </c>
      <c r="J81" s="1" t="s">
        <v>1482</v>
      </c>
      <c r="K81" s="3" t="n">
        <v>3355</v>
      </c>
      <c r="L81" s="15" t="s">
        <v>1496</v>
      </c>
      <c r="M81" s="1" t="s">
        <v>1484</v>
      </c>
      <c r="N81" s="9" t="n">
        <v>45048</v>
      </c>
      <c r="O81" s="10" t="s">
        <v>1497</v>
      </c>
      <c r="P81" s="1" t="n">
        <v>1600</v>
      </c>
      <c r="Q81" s="1" t="n">
        <v>140</v>
      </c>
    </row>
    <row r="82" customFormat="false" ht="18.7" hidden="false" customHeight="true" outlineLevel="0" collapsed="false">
      <c r="A82" s="1" t="n">
        <v>81</v>
      </c>
      <c r="B82" s="7" t="str">
        <f aca="false">HYPERLINK("https://mncourtfraud.com/file/LPK-20.zip","LPK-20.zip")</f>
        <v>LPK-20.zip</v>
      </c>
      <c r="C82" s="8" t="str">
        <f aca="false">HYPERLINK("https://mncourtfraud.com/file/27-CR-21-8511.pdf","27-CR-21-8511")</f>
        <v>27-CR-21-8511</v>
      </c>
      <c r="D82" s="3" t="s">
        <v>15</v>
      </c>
      <c r="E82" s="9" t="n">
        <v>45048</v>
      </c>
      <c r="F82" s="8" t="str">
        <f aca="false">HYPERLINK("https://mncourtfraud.com/file/MCRO_27-CR-21-8511_Finding of Incompetency and Order_2023-05-02_20240430082013.pdf","MCRO_27-CR-21-8511_Finding of Incompetency and Order_2023-05-02_20240430082013.pdf")</f>
        <v>MCRO_27-CR-21-8511_Finding of Incompetency and Order_2023-05-02_20240430082013.pdf</v>
      </c>
      <c r="G82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82" s="1" t="s">
        <v>1460</v>
      </c>
      <c r="I82" s="3" t="s">
        <v>1495</v>
      </c>
      <c r="J82" s="1" t="s">
        <v>1482</v>
      </c>
      <c r="K82" s="3" t="n">
        <v>3355</v>
      </c>
      <c r="L82" s="15" t="s">
        <v>1496</v>
      </c>
      <c r="M82" s="1" t="s">
        <v>1484</v>
      </c>
      <c r="N82" s="9" t="n">
        <v>45048</v>
      </c>
      <c r="O82" s="10" t="s">
        <v>1497</v>
      </c>
      <c r="P82" s="1" t="n">
        <v>1600</v>
      </c>
      <c r="Q82" s="1" t="n">
        <v>140</v>
      </c>
    </row>
    <row r="83" customFormat="false" ht="18.7" hidden="false" customHeight="true" outlineLevel="0" collapsed="false">
      <c r="A83" s="1" t="n">
        <v>82</v>
      </c>
      <c r="B83" s="7" t="str">
        <f aca="false">HYPERLINK("https://mncourtfraud.com/file/LPK-20.zip","LPK-20.zip")</f>
        <v>LPK-20.zip</v>
      </c>
      <c r="C83" s="8" t="str">
        <f aca="false">HYPERLINK("https://mncourtfraud.com/file/27-CR-22-17300.pdf","27-CR-22-17300")</f>
        <v>27-CR-22-17300</v>
      </c>
      <c r="D83" s="3" t="s">
        <v>15</v>
      </c>
      <c r="E83" s="9" t="n">
        <v>45048</v>
      </c>
      <c r="F83" s="8" t="str">
        <f aca="false">HYPERLINK("https://mncourtfraud.com/file/MCRO_27-CR-22-17300_Finding of Incompetency and Order_2023-05-02_20240429162002.pdf","MCRO_27-CR-22-17300_Finding of Incompetency and Order_2023-05-02_20240429162002.pdf")</f>
        <v>MCRO_27-CR-22-17300_Finding of Incompetency and Order_2023-05-02_20240429162002.pdf</v>
      </c>
      <c r="G83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83" s="1" t="s">
        <v>1460</v>
      </c>
      <c r="I83" s="3" t="s">
        <v>1495</v>
      </c>
      <c r="J83" s="1" t="s">
        <v>1482</v>
      </c>
      <c r="K83" s="3" t="n">
        <v>3355</v>
      </c>
      <c r="L83" s="15" t="s">
        <v>1496</v>
      </c>
      <c r="M83" s="1" t="s">
        <v>1484</v>
      </c>
      <c r="N83" s="9" t="n">
        <v>45048</v>
      </c>
      <c r="O83" s="10" t="s">
        <v>1497</v>
      </c>
      <c r="P83" s="1" t="n">
        <v>1600</v>
      </c>
      <c r="Q83" s="1" t="n">
        <v>140</v>
      </c>
    </row>
    <row r="84" customFormat="false" ht="18.7" hidden="false" customHeight="true" outlineLevel="0" collapsed="false">
      <c r="A84" s="1" t="n">
        <v>83</v>
      </c>
      <c r="B84" s="7" t="str">
        <f aca="false">HYPERLINK("https://mncourtfraud.com/file/LPK-20.zip","LPK-20.zip")</f>
        <v>LPK-20.zip</v>
      </c>
      <c r="C84" s="8" t="str">
        <f aca="false">HYPERLINK("https://mncourtfraud.com/file/27-CR-22-21679.pdf","27-CR-22-21679")</f>
        <v>27-CR-22-21679</v>
      </c>
      <c r="D84" s="3" t="s">
        <v>15</v>
      </c>
      <c r="E84" s="9" t="n">
        <v>45048</v>
      </c>
      <c r="F84" s="8" t="str">
        <f aca="false">HYPERLINK("https://mncourtfraud.com/file/MCRO_27-CR-22-21679_Finding of Incompetency and Order_2023-05-02_20240429162858.pdf","MCRO_27-CR-22-21679_Finding of Incompetency and Order_2023-05-02_20240429162858.pdf")</f>
        <v>MCRO_27-CR-22-21679_Finding of Incompetency and Order_2023-05-02_20240429162858.pdf</v>
      </c>
      <c r="G84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84" s="1" t="s">
        <v>1460</v>
      </c>
      <c r="I84" s="3" t="s">
        <v>1495</v>
      </c>
      <c r="J84" s="1" t="s">
        <v>1482</v>
      </c>
      <c r="K84" s="3" t="n">
        <v>3355</v>
      </c>
      <c r="L84" s="15" t="s">
        <v>1496</v>
      </c>
      <c r="M84" s="1" t="s">
        <v>1484</v>
      </c>
      <c r="N84" s="9" t="n">
        <v>45048</v>
      </c>
      <c r="O84" s="10" t="s">
        <v>1497</v>
      </c>
      <c r="P84" s="1" t="n">
        <v>1600</v>
      </c>
      <c r="Q84" s="1" t="n">
        <v>140</v>
      </c>
    </row>
    <row r="85" customFormat="false" ht="18.7" hidden="false" customHeight="true" outlineLevel="0" collapsed="false">
      <c r="A85" s="1" t="n">
        <v>84</v>
      </c>
      <c r="B85" s="7" t="str">
        <f aca="false">HYPERLINK("https://mncourtfraud.com/file/LPK-20.zip","LPK-20.zip")</f>
        <v>LPK-20.zip</v>
      </c>
      <c r="C85" s="8" t="str">
        <f aca="false">HYPERLINK("https://mncourtfraud.com/file/27-CR-22-24045.pdf","27-CR-22-24045")</f>
        <v>27-CR-22-24045</v>
      </c>
      <c r="D85" s="3" t="s">
        <v>15</v>
      </c>
      <c r="E85" s="9" t="n">
        <v>45048</v>
      </c>
      <c r="F85" s="8" t="str">
        <f aca="false">HYPERLINK("https://mncourtfraud.com/file/MCRO_27-CR-22-24045_Finding of Incompetency and Order_2023-05-02_20240429164219.pdf","MCRO_27-CR-22-24045_Finding of Incompetency and Order_2023-05-02_20240429164219.pdf")</f>
        <v>MCRO_27-CR-22-24045_Finding of Incompetency and Order_2023-05-02_20240429164219.pdf</v>
      </c>
      <c r="G85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85" s="1" t="s">
        <v>1460</v>
      </c>
      <c r="I85" s="3" t="s">
        <v>1495</v>
      </c>
      <c r="J85" s="1" t="s">
        <v>1482</v>
      </c>
      <c r="K85" s="15" t="n">
        <v>3355</v>
      </c>
      <c r="L85" s="3" t="s">
        <v>1496</v>
      </c>
      <c r="M85" s="1" t="s">
        <v>1484</v>
      </c>
      <c r="N85" s="9" t="n">
        <v>45048</v>
      </c>
      <c r="O85" s="1" t="s">
        <v>1497</v>
      </c>
      <c r="P85" s="14" t="n">
        <v>1600</v>
      </c>
      <c r="Q85" s="14" t="n">
        <v>140</v>
      </c>
    </row>
    <row r="86" customFormat="false" ht="18.7" hidden="false" customHeight="true" outlineLevel="0" collapsed="false">
      <c r="A86" s="1" t="n">
        <v>85</v>
      </c>
      <c r="B86" s="7" t="str">
        <f aca="false">HYPERLINK("https://mncourtfraud.com/file/LPK-20.zip","LPK-20.zip")</f>
        <v>LPK-20.zip</v>
      </c>
      <c r="C86" s="8" t="str">
        <f aca="false">HYPERLINK("https://mncourtfraud.com/file/27-CR-23-385.pdf","27-CR-23-385")</f>
        <v>27-CR-23-385</v>
      </c>
      <c r="D86" s="3" t="s">
        <v>15</v>
      </c>
      <c r="E86" s="9" t="n">
        <v>45048</v>
      </c>
      <c r="F86" s="8" t="str">
        <f aca="false">HYPERLINK("https://mncourtfraud.com/file/MCRO_27-CR-23-385_Finding of Incompetency and Order_2023-05-02_20240430071836.pdf","MCRO_27-CR-23-385_Finding of Incompetency and Order_2023-05-02_20240430071836.pdf")</f>
        <v>MCRO_27-CR-23-385_Finding of Incompetency and Order_2023-05-02_20240430071836.pdf</v>
      </c>
      <c r="G86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86" s="1" t="s">
        <v>1460</v>
      </c>
      <c r="I86" s="3" t="s">
        <v>1495</v>
      </c>
      <c r="J86" s="1" t="s">
        <v>1482</v>
      </c>
      <c r="K86" s="15" t="n">
        <v>3355</v>
      </c>
      <c r="L86" s="3" t="s">
        <v>1496</v>
      </c>
      <c r="M86" s="1" t="s">
        <v>1484</v>
      </c>
      <c r="N86" s="9" t="n">
        <v>45048</v>
      </c>
      <c r="O86" s="1" t="s">
        <v>1497</v>
      </c>
      <c r="P86" s="14" t="n">
        <v>1600</v>
      </c>
      <c r="Q86" s="14" t="n">
        <v>140</v>
      </c>
    </row>
    <row r="87" customFormat="false" ht="18.7" hidden="false" customHeight="true" outlineLevel="0" collapsed="false">
      <c r="A87" s="1" t="n">
        <v>86</v>
      </c>
      <c r="B87" s="7" t="str">
        <f aca="false">HYPERLINK("https://mncourtfraud.com/file/LPK-20.zip","LPK-20.zip")</f>
        <v>LPK-20.zip</v>
      </c>
      <c r="C87" s="8" t="str">
        <f aca="false">HYPERLINK("https://mncourtfraud.com/file/27-CR-23-5751.pdf","27-CR-23-5751")</f>
        <v>27-CR-23-5751</v>
      </c>
      <c r="D87" s="3" t="s">
        <v>15</v>
      </c>
      <c r="E87" s="9" t="n">
        <v>45048</v>
      </c>
      <c r="F87" s="8" t="str">
        <f aca="false">HYPERLINK("https://mncourtfraud.com/file/MCRO_27-CR-23-5751_Finding of Incompetency and Order_2023-05-02_20240430073242.pdf","MCRO_27-CR-23-5751_Finding of Incompetency and Order_2023-05-02_20240430073242.pdf")</f>
        <v>MCRO_27-CR-23-5751_Finding of Incompetency and Order_2023-05-02_20240430073242.pdf</v>
      </c>
      <c r="G87" s="8" t="str">
        <f aca="false">HYPERLINK("https://mncourtfraud.com/file/fe4645e49abbef212bf3ade44d4a0abc60a7ddf529060c567b9b5051e42e51bf.png","fe4645e49abbef212bf3ade44d4a0abc60a7ddf529060c567b9b5051e42e51bf")</f>
        <v>fe4645e49abbef212bf3ade44d4a0abc60a7ddf529060c567b9b5051e42e51bf</v>
      </c>
      <c r="H87" s="1" t="s">
        <v>1460</v>
      </c>
      <c r="I87" s="3" t="s">
        <v>1495</v>
      </c>
      <c r="J87" s="1" t="s">
        <v>1482</v>
      </c>
      <c r="K87" s="15" t="n">
        <v>3355</v>
      </c>
      <c r="L87" s="3" t="s">
        <v>1496</v>
      </c>
      <c r="M87" s="1" t="s">
        <v>1484</v>
      </c>
      <c r="N87" s="9" t="n">
        <v>45048</v>
      </c>
      <c r="O87" s="1" t="s">
        <v>1497</v>
      </c>
      <c r="P87" s="14" t="n">
        <v>1600</v>
      </c>
      <c r="Q87" s="14" t="n">
        <v>140</v>
      </c>
    </row>
    <row r="88" customFormat="false" ht="18.7" hidden="false" customHeight="true" outlineLevel="0" collapsed="false">
      <c r="A88" s="1" t="n">
        <v>87</v>
      </c>
      <c r="E88" s="9"/>
      <c r="K88" s="3"/>
      <c r="L88" s="15"/>
      <c r="N88" s="9"/>
      <c r="O88" s="10"/>
      <c r="P88" s="1"/>
      <c r="Q88" s="1"/>
    </row>
    <row r="89" customFormat="false" ht="18.7" hidden="false" customHeight="true" outlineLevel="0" collapsed="false">
      <c r="A89" s="1" t="n">
        <v>88</v>
      </c>
      <c r="B89" s="7" t="str">
        <f aca="false">HYPERLINK("https://mncourtfraud.com/file/TJ-34.zip","TJ-34.zip")</f>
        <v>TJ-34.zip</v>
      </c>
      <c r="C89" s="8" t="str">
        <f aca="false">HYPERLINK("https://mncourtfraud.com/file/27-CR-19-12466.pdf","27-CR-19-12466")</f>
        <v>27-CR-19-12466</v>
      </c>
      <c r="D89" s="3" t="s">
        <v>334</v>
      </c>
      <c r="E89" s="9" t="n">
        <v>45363</v>
      </c>
      <c r="F89" s="8" t="str">
        <f aca="false">HYPERLINK("https://mncourtfraud.com/file/MCRO_27-CR-19-12466_Finding of Incompetency and Order_2024-03-12_20240430091809.pdf","MCRO_27-CR-19-12466_Finding of Incompetency and Order_2024-03-12_20240430091809.pdf")</f>
        <v>MCRO_27-CR-19-12466_Finding of Incompetency and Order_2024-03-12_20240430091809.pdf</v>
      </c>
      <c r="G89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89" s="1" t="s">
        <v>1460</v>
      </c>
      <c r="I89" s="3" t="s">
        <v>1498</v>
      </c>
      <c r="J89" s="1" t="s">
        <v>1482</v>
      </c>
      <c r="K89" s="3" t="n">
        <v>3712</v>
      </c>
      <c r="L89" s="15" t="s">
        <v>1487</v>
      </c>
      <c r="M89" s="1" t="s">
        <v>1484</v>
      </c>
      <c r="N89" s="9" t="n">
        <v>45372</v>
      </c>
      <c r="O89" s="10" t="s">
        <v>1499</v>
      </c>
      <c r="P89" s="1" t="n">
        <v>1770</v>
      </c>
      <c r="Q89" s="1" t="n">
        <v>150</v>
      </c>
    </row>
    <row r="90" customFormat="false" ht="18.7" hidden="false" customHeight="true" outlineLevel="0" collapsed="false">
      <c r="A90" s="1" t="n">
        <v>89</v>
      </c>
      <c r="B90" s="7" t="str">
        <f aca="false">HYPERLINK("https://mncourtfraud.com/file/TJ-34.zip","TJ-34.zip")</f>
        <v>TJ-34.zip</v>
      </c>
      <c r="C90" s="8" t="str">
        <f aca="false">HYPERLINK("https://mncourtfraud.com/file/27-CR-19-19606.pdf","27-CR-19-19606")</f>
        <v>27-CR-19-19606</v>
      </c>
      <c r="D90" s="3" t="s">
        <v>334</v>
      </c>
      <c r="E90" s="9" t="n">
        <v>45363</v>
      </c>
      <c r="F90" s="8" t="str">
        <f aca="false">HYPERLINK("https://mncourtfraud.com/file/MCRO_27-CR-19-19606_Finding of Incompetency and Order_2024-03-12_20240430092030.pdf","MCRO_27-CR-19-19606_Finding of Incompetency and Order_2024-03-12_20240430092030.pdf")</f>
        <v>MCRO_27-CR-19-19606_Finding of Incompetency and Order_2024-03-12_20240430092030.pdf</v>
      </c>
      <c r="G90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90" s="1" t="s">
        <v>1460</v>
      </c>
      <c r="I90" s="3" t="s">
        <v>1498</v>
      </c>
      <c r="J90" s="1" t="s">
        <v>1482</v>
      </c>
      <c r="K90" s="3" t="n">
        <v>3712</v>
      </c>
      <c r="L90" s="15" t="s">
        <v>1487</v>
      </c>
      <c r="M90" s="1" t="s">
        <v>1484</v>
      </c>
      <c r="N90" s="9" t="n">
        <v>45372</v>
      </c>
      <c r="O90" s="10" t="s">
        <v>1499</v>
      </c>
      <c r="P90" s="1" t="n">
        <v>1770</v>
      </c>
      <c r="Q90" s="1" t="n">
        <v>150</v>
      </c>
    </row>
    <row r="91" customFormat="false" ht="18.7" hidden="false" customHeight="true" outlineLevel="0" collapsed="false">
      <c r="A91" s="1" t="n">
        <v>90</v>
      </c>
      <c r="B91" s="7" t="str">
        <f aca="false">HYPERLINK("https://mncourtfraud.com/file/TJ-34.zip","TJ-34.zip")</f>
        <v>TJ-34.zip</v>
      </c>
      <c r="C91" s="8" t="str">
        <f aca="false">HYPERLINK("https://mncourtfraud.com/file/27-CR-20-20037.pdf","27-CR-20-20037")</f>
        <v>27-CR-20-20037</v>
      </c>
      <c r="D91" s="3" t="s">
        <v>334</v>
      </c>
      <c r="E91" s="9" t="n">
        <v>45363</v>
      </c>
      <c r="F91" s="8" t="str">
        <f aca="false">HYPERLINK("https://mncourtfraud.com/file/MCRO_27-CR-20-20037_Finding of Incompetency and Order_2024-03-12_20240430090128.pdf","MCRO_27-CR-20-20037_Finding of Incompetency and Order_2024-03-12_20240430090128.pdf")</f>
        <v>MCRO_27-CR-20-20037_Finding of Incompetency and Order_2024-03-12_20240430090128.pdf</v>
      </c>
      <c r="G91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91" s="1" t="s">
        <v>1460</v>
      </c>
      <c r="I91" s="3" t="s">
        <v>1498</v>
      </c>
      <c r="J91" s="1" t="s">
        <v>1482</v>
      </c>
      <c r="K91" s="3" t="n">
        <v>3712</v>
      </c>
      <c r="L91" s="15" t="s">
        <v>1487</v>
      </c>
      <c r="M91" s="1" t="s">
        <v>1484</v>
      </c>
      <c r="N91" s="9" t="n">
        <v>45372</v>
      </c>
      <c r="O91" s="10" t="s">
        <v>1499</v>
      </c>
      <c r="P91" s="1" t="n">
        <v>1770</v>
      </c>
      <c r="Q91" s="1" t="n">
        <v>150</v>
      </c>
    </row>
    <row r="92" customFormat="false" ht="18.7" hidden="false" customHeight="true" outlineLevel="0" collapsed="false">
      <c r="A92" s="1" t="n">
        <v>91</v>
      </c>
      <c r="B92" s="7" t="str">
        <f aca="false">HYPERLINK("https://mncourtfraud.com/file/TJ-34.zip","TJ-34.zip")</f>
        <v>TJ-34.zip</v>
      </c>
      <c r="C92" s="8" t="str">
        <f aca="false">HYPERLINK("https://mncourtfraud.com/file/27-CR-20-8926.pdf","27-CR-20-8926")</f>
        <v>27-CR-20-8926</v>
      </c>
      <c r="D92" s="3" t="s">
        <v>334</v>
      </c>
      <c r="E92" s="9" t="n">
        <v>45363</v>
      </c>
      <c r="F92" s="8" t="str">
        <f aca="false">HYPERLINK("https://mncourtfraud.com/file/MCRO_27-CR-20-8926_Finding of Incompetency and Order_2024-03-12_20240430085426.pdf","MCRO_27-CR-20-8926_Finding of Incompetency and Order_2024-03-12_20240430085426.pdf")</f>
        <v>MCRO_27-CR-20-8926_Finding of Incompetency and Order_2024-03-12_20240430085426.pdf</v>
      </c>
      <c r="G92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92" s="1" t="s">
        <v>1460</v>
      </c>
      <c r="I92" s="3" t="s">
        <v>1498</v>
      </c>
      <c r="J92" s="1" t="s">
        <v>1482</v>
      </c>
      <c r="K92" s="3" t="n">
        <v>3712</v>
      </c>
      <c r="L92" s="15" t="s">
        <v>1487</v>
      </c>
      <c r="M92" s="1" t="s">
        <v>1484</v>
      </c>
      <c r="N92" s="9" t="n">
        <v>45372</v>
      </c>
      <c r="O92" s="10" t="s">
        <v>1499</v>
      </c>
      <c r="P92" s="1" t="n">
        <v>1770</v>
      </c>
      <c r="Q92" s="1" t="n">
        <v>150</v>
      </c>
    </row>
    <row r="93" customFormat="false" ht="18.7" hidden="false" customHeight="true" outlineLevel="0" collapsed="false">
      <c r="A93" s="1" t="n">
        <v>92</v>
      </c>
      <c r="B93" s="7" t="str">
        <f aca="false">HYPERLINK("https://mncourtfraud.com/file/TJ-34.zip","TJ-34.zip")</f>
        <v>TJ-34.zip</v>
      </c>
      <c r="C93" s="8" t="str">
        <f aca="false">HYPERLINK("https://mncourtfraud.com/file/27-CR-21-19552.pdf","27-CR-21-19552")</f>
        <v>27-CR-21-19552</v>
      </c>
      <c r="D93" s="3" t="s">
        <v>334</v>
      </c>
      <c r="E93" s="9" t="n">
        <v>45363</v>
      </c>
      <c r="F93" s="8" t="str">
        <f aca="false">HYPERLINK("https://mncourtfraud.com/file/MCRO_27-CR-21-19552_Finding of Incompetency and Order_2024-03-12_20240430082832.pdf","MCRO_27-CR-21-19552_Finding of Incompetency and Order_2024-03-12_20240430082832.pdf")</f>
        <v>MCRO_27-CR-21-19552_Finding of Incompetency and Order_2024-03-12_20240430082832.pdf</v>
      </c>
      <c r="G93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93" s="1" t="s">
        <v>1460</v>
      </c>
      <c r="I93" s="3" t="s">
        <v>1498</v>
      </c>
      <c r="J93" s="1" t="s">
        <v>1482</v>
      </c>
      <c r="K93" s="3" t="n">
        <v>3712</v>
      </c>
      <c r="L93" s="15" t="s">
        <v>1487</v>
      </c>
      <c r="M93" s="1" t="s">
        <v>1484</v>
      </c>
      <c r="N93" s="9" t="n">
        <v>45372</v>
      </c>
      <c r="O93" s="10" t="s">
        <v>1499</v>
      </c>
      <c r="P93" s="1" t="n">
        <v>1770</v>
      </c>
      <c r="Q93" s="1" t="n">
        <v>150</v>
      </c>
    </row>
    <row r="94" customFormat="false" ht="18.7" hidden="false" customHeight="true" outlineLevel="0" collapsed="false">
      <c r="A94" s="1" t="n">
        <v>93</v>
      </c>
      <c r="B94" s="7" t="str">
        <f aca="false">HYPERLINK("https://mncourtfraud.com/file/TJ-34.zip","TJ-34.zip")</f>
        <v>TJ-34.zip</v>
      </c>
      <c r="C94" s="8" t="str">
        <f aca="false">HYPERLINK("https://mncourtfraud.com/file/27-CR-21-23233.pdf","27-CR-21-23233")</f>
        <v>27-CR-21-23233</v>
      </c>
      <c r="D94" s="3" t="s">
        <v>334</v>
      </c>
      <c r="E94" s="9" t="n">
        <v>45363</v>
      </c>
      <c r="F94" s="8" t="str">
        <f aca="false">HYPERLINK("https://mncourtfraud.com/file/MCRO_27-CR-21-23233_Finding of Incompetency and Order_2024-03-12_20240430084211.pdf","MCRO_27-CR-21-23233_Finding of Incompetency and Order_2024-03-12_20240430084211.pdf")</f>
        <v>MCRO_27-CR-21-23233_Finding of Incompetency and Order_2024-03-12_20240430084211.pdf</v>
      </c>
      <c r="G94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94" s="1" t="s">
        <v>1460</v>
      </c>
      <c r="I94" s="3" t="s">
        <v>1498</v>
      </c>
      <c r="J94" s="1" t="s">
        <v>1482</v>
      </c>
      <c r="K94" s="3" t="n">
        <v>3712</v>
      </c>
      <c r="L94" s="15" t="s">
        <v>1487</v>
      </c>
      <c r="M94" s="1" t="s">
        <v>1484</v>
      </c>
      <c r="N94" s="9" t="n">
        <v>45372</v>
      </c>
      <c r="O94" s="10" t="s">
        <v>1499</v>
      </c>
      <c r="P94" s="1" t="n">
        <v>1770</v>
      </c>
      <c r="Q94" s="1" t="n">
        <v>150</v>
      </c>
    </row>
    <row r="95" customFormat="false" ht="18.7" hidden="false" customHeight="true" outlineLevel="0" collapsed="false">
      <c r="A95" s="1" t="n">
        <v>94</v>
      </c>
      <c r="B95" s="7" t="str">
        <f aca="false">HYPERLINK("https://mncourtfraud.com/file/TJ-34.zip","TJ-34.zip")</f>
        <v>TJ-34.zip</v>
      </c>
      <c r="C95" s="8" t="str">
        <f aca="false">HYPERLINK("https://mncourtfraud.com/file/27-CR-22-1165.pdf","27-CR-22-1165")</f>
        <v>27-CR-22-1165</v>
      </c>
      <c r="D95" s="3" t="s">
        <v>334</v>
      </c>
      <c r="E95" s="9" t="n">
        <v>45363</v>
      </c>
      <c r="F95" s="8" t="str">
        <f aca="false">HYPERLINK("https://mncourtfraud.com/file/MCRO_27-CR-22-1165_Finding of Incompetency and Order_2024-03-12_20240429030424.pdf","MCRO_27-CR-22-1165_Finding of Incompetency and Order_2024-03-12_20240429030424.pdf")</f>
        <v>MCRO_27-CR-22-1165_Finding of Incompetency and Order_2024-03-12_20240429030424.pdf</v>
      </c>
      <c r="G95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95" s="1" t="s">
        <v>1460</v>
      </c>
      <c r="I95" s="3" t="s">
        <v>1498</v>
      </c>
      <c r="J95" s="1" t="s">
        <v>1482</v>
      </c>
      <c r="K95" s="3" t="n">
        <v>3712</v>
      </c>
      <c r="L95" s="15" t="s">
        <v>1487</v>
      </c>
      <c r="M95" s="1" t="s">
        <v>1484</v>
      </c>
      <c r="N95" s="9" t="n">
        <v>45372</v>
      </c>
      <c r="O95" s="10" t="s">
        <v>1499</v>
      </c>
      <c r="P95" s="1" t="n">
        <v>1770</v>
      </c>
      <c r="Q95" s="1" t="n">
        <v>150</v>
      </c>
    </row>
    <row r="96" customFormat="false" ht="18.7" hidden="false" customHeight="true" outlineLevel="0" collapsed="false">
      <c r="A96" s="1" t="n">
        <v>95</v>
      </c>
      <c r="B96" s="7" t="str">
        <f aca="false">HYPERLINK("https://mncourtfraud.com/file/TJ-34.zip","TJ-34.zip")</f>
        <v>TJ-34.zip</v>
      </c>
      <c r="C96" s="8" t="str">
        <f aca="false">HYPERLINK("https://mncourtfraud.com/file/27-CR-22-4898.pdf","27-CR-22-4898")</f>
        <v>27-CR-22-4898</v>
      </c>
      <c r="D96" s="3" t="s">
        <v>334</v>
      </c>
      <c r="E96" s="9" t="n">
        <v>45363</v>
      </c>
      <c r="F96" s="8" t="str">
        <f aca="false">HYPERLINK("https://mncourtfraud.com/file/MCRO_27-CR-22-4898_Finding of Incompetency and Order_2024-03-12_20240429040213.pdf","MCRO_27-CR-22-4898_Finding of Incompetency and Order_2024-03-12_20240429040213.pdf")</f>
        <v>MCRO_27-CR-22-4898_Finding of Incompetency and Order_2024-03-12_20240429040213.pdf</v>
      </c>
      <c r="G96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96" s="1" t="s">
        <v>1460</v>
      </c>
      <c r="I96" s="3" t="s">
        <v>1498</v>
      </c>
      <c r="J96" s="1" t="s">
        <v>1482</v>
      </c>
      <c r="K96" s="3" t="n">
        <v>3712</v>
      </c>
      <c r="L96" s="15" t="s">
        <v>1487</v>
      </c>
      <c r="M96" s="1" t="s">
        <v>1484</v>
      </c>
      <c r="N96" s="9" t="n">
        <v>45372</v>
      </c>
      <c r="O96" s="10" t="s">
        <v>1499</v>
      </c>
      <c r="P96" s="1" t="n">
        <v>1770</v>
      </c>
      <c r="Q96" s="1" t="n">
        <v>150</v>
      </c>
    </row>
    <row r="97" customFormat="false" ht="18.7" hidden="false" customHeight="true" outlineLevel="0" collapsed="false">
      <c r="A97" s="1" t="n">
        <v>96</v>
      </c>
      <c r="B97" s="7" t="str">
        <f aca="false">HYPERLINK("https://mncourtfraud.com/file/TJ-34.zip","TJ-34.zip")</f>
        <v>TJ-34.zip</v>
      </c>
      <c r="C97" s="8" t="str">
        <f aca="false">HYPERLINK("https://mncourtfraud.com/file/27-CR-23-8649.pdf","27-CR-23-8649")</f>
        <v>27-CR-23-8649</v>
      </c>
      <c r="D97" s="3" t="s">
        <v>334</v>
      </c>
      <c r="E97" s="9" t="n">
        <v>45363</v>
      </c>
      <c r="F97" s="8" t="str">
        <f aca="false">HYPERLINK("https://mncourtfraud.com/file/MCRO_27-CR-23-8649_Finding of Incompetency and Order_2024-03-12_20240430073550.pdf","MCRO_27-CR-23-8649_Finding of Incompetency and Order_2024-03-12_20240430073550.pdf")</f>
        <v>MCRO_27-CR-23-8649_Finding of Incompetency and Order_2024-03-12_20240430073550.pdf</v>
      </c>
      <c r="G97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97" s="1" t="s">
        <v>1460</v>
      </c>
      <c r="I97" s="3" t="s">
        <v>1498</v>
      </c>
      <c r="J97" s="1" t="s">
        <v>1482</v>
      </c>
      <c r="K97" s="3" t="n">
        <v>3712</v>
      </c>
      <c r="L97" s="15" t="s">
        <v>1487</v>
      </c>
      <c r="M97" s="1" t="s">
        <v>1484</v>
      </c>
      <c r="N97" s="9" t="n">
        <v>45372</v>
      </c>
      <c r="O97" s="10" t="s">
        <v>1499</v>
      </c>
      <c r="P97" s="1" t="n">
        <v>1770</v>
      </c>
      <c r="Q97" s="1" t="n">
        <v>150</v>
      </c>
    </row>
    <row r="98" customFormat="false" ht="18.7" hidden="false" customHeight="true" outlineLevel="0" collapsed="false">
      <c r="A98" s="1" t="n">
        <v>97</v>
      </c>
      <c r="B98" s="7" t="str">
        <f aca="false">HYPERLINK("https://mncourtfraud.com/file/TJ-34.zip","TJ-34.zip")</f>
        <v>TJ-34.zip</v>
      </c>
      <c r="C98" s="8" t="str">
        <f aca="false">HYPERLINK("https://mncourtfraud.com/file/27-CR-19-12466.pdf","27-CR-19-12466")</f>
        <v>27-CR-19-12466</v>
      </c>
      <c r="D98" s="3" t="s">
        <v>334</v>
      </c>
      <c r="E98" s="9" t="n">
        <v>45363</v>
      </c>
      <c r="F98" s="8" t="str">
        <f aca="false">HYPERLINK("https://mncourtfraud.com/file/MCRO_27-CR-19-12466_Finding of Incompetency and Order_2024-03-12_20240430091809.pdf","MCRO_27-CR-19-12466_Finding of Incompetency and Order_2024-03-12_20240430091809.pdf")</f>
        <v>MCRO_27-CR-19-12466_Finding of Incompetency and Order_2024-03-12_20240430091809.pdf</v>
      </c>
      <c r="G98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98" s="1" t="s">
        <v>1460</v>
      </c>
      <c r="I98" s="3" t="s">
        <v>1498</v>
      </c>
      <c r="J98" s="1" t="s">
        <v>1482</v>
      </c>
      <c r="K98" s="3" t="n">
        <v>3712</v>
      </c>
      <c r="L98" s="15" t="s">
        <v>1487</v>
      </c>
      <c r="M98" s="1" t="s">
        <v>1484</v>
      </c>
      <c r="N98" s="9" t="n">
        <v>45372</v>
      </c>
      <c r="O98" s="10" t="s">
        <v>1499</v>
      </c>
      <c r="P98" s="1" t="n">
        <v>1770</v>
      </c>
      <c r="Q98" s="1" t="n">
        <v>150</v>
      </c>
    </row>
    <row r="99" customFormat="false" ht="18.7" hidden="false" customHeight="true" outlineLevel="0" collapsed="false">
      <c r="A99" s="1" t="n">
        <v>98</v>
      </c>
      <c r="B99" s="7" t="str">
        <f aca="false">HYPERLINK("https://mncourtfraud.com/file/TJ-34.zip","TJ-34.zip")</f>
        <v>TJ-34.zip</v>
      </c>
      <c r="C99" s="8" t="str">
        <f aca="false">HYPERLINK("https://mncourtfraud.com/file/27-CR-19-19606.pdf","27-CR-19-19606")</f>
        <v>27-CR-19-19606</v>
      </c>
      <c r="D99" s="3" t="s">
        <v>334</v>
      </c>
      <c r="E99" s="9" t="n">
        <v>45363</v>
      </c>
      <c r="F99" s="8" t="str">
        <f aca="false">HYPERLINK("https://mncourtfraud.com/file/MCRO_27-CR-19-19606_Finding of Incompetency and Order_2024-03-12_20240430092030.pdf","MCRO_27-CR-19-19606_Finding of Incompetency and Order_2024-03-12_20240430092030.pdf")</f>
        <v>MCRO_27-CR-19-19606_Finding of Incompetency and Order_2024-03-12_20240430092030.pdf</v>
      </c>
      <c r="G99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99" s="1" t="s">
        <v>1460</v>
      </c>
      <c r="I99" s="3" t="s">
        <v>1498</v>
      </c>
      <c r="J99" s="1" t="s">
        <v>1482</v>
      </c>
      <c r="K99" s="3" t="n">
        <v>3712</v>
      </c>
      <c r="L99" s="15" t="s">
        <v>1487</v>
      </c>
      <c r="M99" s="1" t="s">
        <v>1484</v>
      </c>
      <c r="N99" s="9" t="n">
        <v>45372</v>
      </c>
      <c r="O99" s="10" t="s">
        <v>1499</v>
      </c>
      <c r="P99" s="1" t="n">
        <v>1770</v>
      </c>
      <c r="Q99" s="1" t="n">
        <v>150</v>
      </c>
    </row>
    <row r="100" customFormat="false" ht="18.7" hidden="false" customHeight="true" outlineLevel="0" collapsed="false">
      <c r="A100" s="1" t="n">
        <v>99</v>
      </c>
      <c r="B100" s="7" t="str">
        <f aca="false">HYPERLINK("https://mncourtfraud.com/file/TJ-34.zip","TJ-34.zip")</f>
        <v>TJ-34.zip</v>
      </c>
      <c r="C100" s="8" t="str">
        <f aca="false">HYPERLINK("https://mncourtfraud.com/file/27-CR-20-20037.pdf","27-CR-20-20037")</f>
        <v>27-CR-20-20037</v>
      </c>
      <c r="D100" s="3" t="s">
        <v>334</v>
      </c>
      <c r="E100" s="9" t="n">
        <v>45363</v>
      </c>
      <c r="F100" s="8" t="str">
        <f aca="false">HYPERLINK("https://mncourtfraud.com/file/MCRO_27-CR-20-20037_Finding of Incompetency and Order_2024-03-12_20240430090128.pdf","MCRO_27-CR-20-20037_Finding of Incompetency and Order_2024-03-12_20240430090128.pdf")</f>
        <v>MCRO_27-CR-20-20037_Finding of Incompetency and Order_2024-03-12_20240430090128.pdf</v>
      </c>
      <c r="G100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100" s="1" t="s">
        <v>1460</v>
      </c>
      <c r="I100" s="3" t="s">
        <v>1498</v>
      </c>
      <c r="J100" s="1" t="s">
        <v>1482</v>
      </c>
      <c r="K100" s="3" t="n">
        <v>3712</v>
      </c>
      <c r="L100" s="15" t="s">
        <v>1487</v>
      </c>
      <c r="M100" s="1" t="s">
        <v>1484</v>
      </c>
      <c r="N100" s="9" t="n">
        <v>45372</v>
      </c>
      <c r="O100" s="10" t="s">
        <v>1499</v>
      </c>
      <c r="P100" s="1" t="n">
        <v>1770</v>
      </c>
      <c r="Q100" s="1" t="n">
        <v>150</v>
      </c>
    </row>
    <row r="101" customFormat="false" ht="18.7" hidden="false" customHeight="true" outlineLevel="0" collapsed="false">
      <c r="A101" s="1" t="n">
        <v>100</v>
      </c>
      <c r="B101" s="7" t="str">
        <f aca="false">HYPERLINK("https://mncourtfraud.com/file/TJ-34.zip","TJ-34.zip")</f>
        <v>TJ-34.zip</v>
      </c>
      <c r="C101" s="8" t="str">
        <f aca="false">HYPERLINK("https://mncourtfraud.com/file/27-CR-20-8926.pdf","27-CR-20-8926")</f>
        <v>27-CR-20-8926</v>
      </c>
      <c r="D101" s="3" t="s">
        <v>334</v>
      </c>
      <c r="E101" s="9" t="n">
        <v>45363</v>
      </c>
      <c r="F101" s="8" t="str">
        <f aca="false">HYPERLINK("https://mncourtfraud.com/file/MCRO_27-CR-20-8926_Finding of Incompetency and Order_2024-03-12_20240430085426.pdf","MCRO_27-CR-20-8926_Finding of Incompetency and Order_2024-03-12_20240430085426.pdf")</f>
        <v>MCRO_27-CR-20-8926_Finding of Incompetency and Order_2024-03-12_20240430085426.pdf</v>
      </c>
      <c r="G101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101" s="1" t="s">
        <v>1460</v>
      </c>
      <c r="I101" s="3" t="s">
        <v>1498</v>
      </c>
      <c r="J101" s="1" t="s">
        <v>1482</v>
      </c>
      <c r="K101" s="3" t="n">
        <v>3712</v>
      </c>
      <c r="L101" s="15" t="s">
        <v>1487</v>
      </c>
      <c r="M101" s="1" t="s">
        <v>1484</v>
      </c>
      <c r="N101" s="9" t="n">
        <v>45372</v>
      </c>
      <c r="O101" s="10" t="s">
        <v>1499</v>
      </c>
      <c r="P101" s="1" t="n">
        <v>1770</v>
      </c>
      <c r="Q101" s="1" t="n">
        <v>150</v>
      </c>
    </row>
    <row r="102" customFormat="false" ht="18.7" hidden="false" customHeight="true" outlineLevel="0" collapsed="false">
      <c r="A102" s="1" t="n">
        <v>101</v>
      </c>
      <c r="B102" s="7" t="str">
        <f aca="false">HYPERLINK("https://mncourtfraud.com/file/TJ-34.zip","TJ-34.zip")</f>
        <v>TJ-34.zip</v>
      </c>
      <c r="C102" s="8" t="str">
        <f aca="false">HYPERLINK("https://mncourtfraud.com/file/27-CR-21-19552.pdf","27-CR-21-19552")</f>
        <v>27-CR-21-19552</v>
      </c>
      <c r="D102" s="3" t="s">
        <v>334</v>
      </c>
      <c r="E102" s="9" t="n">
        <v>45363</v>
      </c>
      <c r="F102" s="8" t="str">
        <f aca="false">HYPERLINK("https://mncourtfraud.com/file/MCRO_27-CR-21-19552_Finding of Incompetency and Order_2024-03-12_20240430082832.pdf","MCRO_27-CR-21-19552_Finding of Incompetency and Order_2024-03-12_20240430082832.pdf")</f>
        <v>MCRO_27-CR-21-19552_Finding of Incompetency and Order_2024-03-12_20240430082832.pdf</v>
      </c>
      <c r="G102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102" s="1" t="s">
        <v>1460</v>
      </c>
      <c r="I102" s="3" t="s">
        <v>1498</v>
      </c>
      <c r="J102" s="1" t="s">
        <v>1482</v>
      </c>
      <c r="K102" s="3" t="n">
        <v>3712</v>
      </c>
      <c r="L102" s="15" t="s">
        <v>1487</v>
      </c>
      <c r="M102" s="1" t="s">
        <v>1484</v>
      </c>
      <c r="N102" s="9" t="n">
        <v>45372</v>
      </c>
      <c r="O102" s="10" t="s">
        <v>1499</v>
      </c>
      <c r="P102" s="1" t="n">
        <v>1770</v>
      </c>
      <c r="Q102" s="1" t="n">
        <v>150</v>
      </c>
    </row>
    <row r="103" customFormat="false" ht="18.7" hidden="false" customHeight="true" outlineLevel="0" collapsed="false">
      <c r="A103" s="1" t="n">
        <v>102</v>
      </c>
      <c r="B103" s="7" t="str">
        <f aca="false">HYPERLINK("https://mncourtfraud.com/file/TJ-34.zip","TJ-34.zip")</f>
        <v>TJ-34.zip</v>
      </c>
      <c r="C103" s="8" t="str">
        <f aca="false">HYPERLINK("https://mncourtfraud.com/file/27-CR-21-23233.pdf","27-CR-21-23233")</f>
        <v>27-CR-21-23233</v>
      </c>
      <c r="D103" s="3" t="s">
        <v>334</v>
      </c>
      <c r="E103" s="9" t="n">
        <v>45363</v>
      </c>
      <c r="F103" s="8" t="str">
        <f aca="false">HYPERLINK("https://mncourtfraud.com/file/MCRO_27-CR-21-23233_Finding of Incompetency and Order_2024-03-12_20240430084211.pdf","MCRO_27-CR-21-23233_Finding of Incompetency and Order_2024-03-12_20240430084211.pdf")</f>
        <v>MCRO_27-CR-21-23233_Finding of Incompetency and Order_2024-03-12_20240430084211.pdf</v>
      </c>
      <c r="G103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103" s="1" t="s">
        <v>1460</v>
      </c>
      <c r="I103" s="3" t="s">
        <v>1498</v>
      </c>
      <c r="J103" s="1" t="s">
        <v>1482</v>
      </c>
      <c r="K103" s="3" t="n">
        <v>3712</v>
      </c>
      <c r="L103" s="15" t="s">
        <v>1487</v>
      </c>
      <c r="M103" s="1" t="s">
        <v>1484</v>
      </c>
      <c r="N103" s="9" t="n">
        <v>45372</v>
      </c>
      <c r="O103" s="10" t="s">
        <v>1499</v>
      </c>
      <c r="P103" s="1" t="n">
        <v>1770</v>
      </c>
      <c r="Q103" s="1" t="n">
        <v>150</v>
      </c>
    </row>
    <row r="104" customFormat="false" ht="18.7" hidden="false" customHeight="true" outlineLevel="0" collapsed="false">
      <c r="A104" s="1" t="n">
        <v>103</v>
      </c>
      <c r="B104" s="7" t="str">
        <f aca="false">HYPERLINK("https://mncourtfraud.com/file/TJ-34.zip","TJ-34.zip")</f>
        <v>TJ-34.zip</v>
      </c>
      <c r="C104" s="8" t="str">
        <f aca="false">HYPERLINK("https://mncourtfraud.com/file/27-CR-22-1165.pdf","27-CR-22-1165")</f>
        <v>27-CR-22-1165</v>
      </c>
      <c r="D104" s="3" t="s">
        <v>334</v>
      </c>
      <c r="E104" s="9" t="n">
        <v>45363</v>
      </c>
      <c r="F104" s="8" t="str">
        <f aca="false">HYPERLINK("https://mncourtfraud.com/file/MCRO_27-CR-22-1165_Finding of Incompetency and Order_2024-03-12_20240429030424.pdf","MCRO_27-CR-22-1165_Finding of Incompetency and Order_2024-03-12_20240429030424.pdf")</f>
        <v>MCRO_27-CR-22-1165_Finding of Incompetency and Order_2024-03-12_20240429030424.pdf</v>
      </c>
      <c r="G104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104" s="1" t="s">
        <v>1460</v>
      </c>
      <c r="I104" s="3" t="s">
        <v>1498</v>
      </c>
      <c r="J104" s="1" t="s">
        <v>1482</v>
      </c>
      <c r="K104" s="3" t="n">
        <v>3712</v>
      </c>
      <c r="L104" s="15" t="s">
        <v>1487</v>
      </c>
      <c r="M104" s="1" t="s">
        <v>1484</v>
      </c>
      <c r="N104" s="9" t="n">
        <v>45372</v>
      </c>
      <c r="O104" s="10" t="s">
        <v>1499</v>
      </c>
      <c r="P104" s="1" t="n">
        <v>1770</v>
      </c>
      <c r="Q104" s="1" t="n">
        <v>150</v>
      </c>
    </row>
    <row r="105" customFormat="false" ht="18.7" hidden="false" customHeight="true" outlineLevel="0" collapsed="false">
      <c r="A105" s="1" t="n">
        <v>104</v>
      </c>
      <c r="B105" s="7" t="str">
        <f aca="false">HYPERLINK("https://mncourtfraud.com/file/TJ-34.zip","TJ-34.zip")</f>
        <v>TJ-34.zip</v>
      </c>
      <c r="C105" s="8" t="str">
        <f aca="false">HYPERLINK("https://mncourtfraud.com/file/27-CR-22-4898.pdf","27-CR-22-4898")</f>
        <v>27-CR-22-4898</v>
      </c>
      <c r="D105" s="3" t="s">
        <v>334</v>
      </c>
      <c r="E105" s="9" t="n">
        <v>45363</v>
      </c>
      <c r="F105" s="8" t="str">
        <f aca="false">HYPERLINK("https://mncourtfraud.com/file/MCRO_27-CR-22-4898_Finding of Incompetency and Order_2024-03-12_20240429040213.pdf","MCRO_27-CR-22-4898_Finding of Incompetency and Order_2024-03-12_20240429040213.pdf")</f>
        <v>MCRO_27-CR-22-4898_Finding of Incompetency and Order_2024-03-12_20240429040213.pdf</v>
      </c>
      <c r="G105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105" s="1" t="s">
        <v>1460</v>
      </c>
      <c r="I105" s="3" t="s">
        <v>1498</v>
      </c>
      <c r="J105" s="1" t="s">
        <v>1482</v>
      </c>
      <c r="K105" s="3" t="n">
        <v>3712</v>
      </c>
      <c r="L105" s="15" t="s">
        <v>1487</v>
      </c>
      <c r="M105" s="1" t="s">
        <v>1484</v>
      </c>
      <c r="N105" s="9" t="n">
        <v>45372</v>
      </c>
      <c r="O105" s="10" t="s">
        <v>1499</v>
      </c>
      <c r="P105" s="1" t="n">
        <v>1770</v>
      </c>
      <c r="Q105" s="1" t="n">
        <v>150</v>
      </c>
    </row>
    <row r="106" customFormat="false" ht="18.7" hidden="false" customHeight="true" outlineLevel="0" collapsed="false">
      <c r="A106" s="1" t="n">
        <v>105</v>
      </c>
      <c r="B106" s="7" t="str">
        <f aca="false">HYPERLINK("https://mncourtfraud.com/file/TJ-34.zip","TJ-34.zip")</f>
        <v>TJ-34.zip</v>
      </c>
      <c r="C106" s="8" t="str">
        <f aca="false">HYPERLINK("https://mncourtfraud.com/file/27-CR-23-8649.pdf","27-CR-23-8649")</f>
        <v>27-CR-23-8649</v>
      </c>
      <c r="D106" s="3" t="s">
        <v>334</v>
      </c>
      <c r="E106" s="9" t="n">
        <v>45363</v>
      </c>
      <c r="F106" s="8" t="str">
        <f aca="false">HYPERLINK("https://mncourtfraud.com/file/MCRO_27-CR-23-8649_Finding of Incompetency and Order_2024-03-12_20240430073550.pdf","MCRO_27-CR-23-8649_Finding of Incompetency and Order_2024-03-12_20240430073550.pdf")</f>
        <v>MCRO_27-CR-23-8649_Finding of Incompetency and Order_2024-03-12_20240430073550.pdf</v>
      </c>
      <c r="G106" s="8" t="str">
        <f aca="false">HYPERLINK("https://mncourtfraud.com/file/12e9467b8c204e1463ece556e642c2be0151744a8c14bb251a599572985e74da.png","12e9467b8c204e1463ece556e642c2be0151744a8c14bb251a599572985e74da")</f>
        <v>12e9467b8c204e1463ece556e642c2be0151744a8c14bb251a599572985e74da</v>
      </c>
      <c r="H106" s="1" t="s">
        <v>1460</v>
      </c>
      <c r="I106" s="3" t="s">
        <v>1498</v>
      </c>
      <c r="J106" s="1" t="s">
        <v>1482</v>
      </c>
      <c r="K106" s="3" t="n">
        <v>3712</v>
      </c>
      <c r="L106" s="15" t="s">
        <v>1487</v>
      </c>
      <c r="M106" s="1" t="s">
        <v>1484</v>
      </c>
      <c r="N106" s="9" t="n">
        <v>45372</v>
      </c>
      <c r="O106" s="10" t="s">
        <v>1499</v>
      </c>
      <c r="P106" s="1" t="n">
        <v>1770</v>
      </c>
      <c r="Q106" s="1" t="n">
        <v>150</v>
      </c>
    </row>
    <row r="107" customFormat="false" ht="18.7" hidden="false" customHeight="true" outlineLevel="0" collapsed="false">
      <c r="A107" s="1" t="n">
        <v>106</v>
      </c>
      <c r="E107" s="9"/>
      <c r="K107" s="3"/>
      <c r="L107" s="15"/>
      <c r="N107" s="9"/>
      <c r="O107" s="10"/>
      <c r="P107" s="1"/>
      <c r="Q107" s="1"/>
    </row>
    <row r="108" customFormat="false" ht="18.7" hidden="false" customHeight="true" outlineLevel="0" collapsed="false">
      <c r="A108" s="1" t="n">
        <v>107</v>
      </c>
      <c r="B108" s="7" t="str">
        <f aca="false">HYPERLINK("https://mncourtfraud.com/file/TJ-35.zip","TJ-35.zip")</f>
        <v>TJ-35.zip</v>
      </c>
      <c r="C108" s="8" t="str">
        <f aca="false">HYPERLINK("https://mncourtfraud.com/file/27-CR-19-12466.pdf","27-CR-19-12466")</f>
        <v>27-CR-19-12466</v>
      </c>
      <c r="D108" s="3" t="s">
        <v>334</v>
      </c>
      <c r="E108" s="9" t="n">
        <v>44937</v>
      </c>
      <c r="F108" s="8" t="str">
        <f aca="false">HYPERLINK("https://mncourtfraud.com/file/MCRO_27-CR-19-12466_Order-Evaluation for Competency to Proceed (Rule 20.01)_2023-01-11_20240430091817.pdf","MCRO_27-CR-19-12466_Order-Evaluation for Competency to Proceed (Rule 20.01)_2023-01-11_20240430091817.pdf")</f>
        <v>MCRO_27-CR-19-12466_Order-Evaluation for Competency to Proceed (Rule 20.01)_2023-01-11_20240430091817.pdf</v>
      </c>
      <c r="G108" s="8" t="str">
        <f aca="false">HYPERLINK("https://mncourtfraud.com/file/2050ff4ea973ffe0b65770d68e559aec281f95f50400fc9f07aed6ef82a65197.png","2050ff4ea973ffe0b65770d68e559aec281f95f50400fc9f07aed6ef82a65197")</f>
        <v>2050ff4ea973ffe0b65770d68e559aec281f95f50400fc9f07aed6ef82a65197</v>
      </c>
      <c r="H108" s="1" t="s">
        <v>1460</v>
      </c>
      <c r="I108" s="3" t="s">
        <v>1500</v>
      </c>
      <c r="J108" s="1" t="s">
        <v>1482</v>
      </c>
      <c r="K108" s="3" t="n">
        <v>3918</v>
      </c>
      <c r="L108" s="15" t="s">
        <v>1487</v>
      </c>
      <c r="M108" s="1" t="s">
        <v>1484</v>
      </c>
      <c r="N108" s="9" t="n">
        <v>44935</v>
      </c>
      <c r="O108" s="10" t="s">
        <v>1501</v>
      </c>
      <c r="P108" s="1" t="n">
        <v>2640</v>
      </c>
      <c r="Q108" s="1" t="n">
        <v>160</v>
      </c>
    </row>
    <row r="109" customFormat="false" ht="18.7" hidden="false" customHeight="true" outlineLevel="0" collapsed="false">
      <c r="A109" s="1" t="n">
        <v>108</v>
      </c>
      <c r="B109" s="7" t="str">
        <f aca="false">HYPERLINK("https://mncourtfraud.com/file/TJ-35.zip","TJ-35.zip")</f>
        <v>TJ-35.zip</v>
      </c>
      <c r="C109" s="8" t="str">
        <f aca="false">HYPERLINK("https://mncourtfraud.com/file/27-CR-19-19606.pdf","27-CR-19-19606")</f>
        <v>27-CR-19-19606</v>
      </c>
      <c r="D109" s="3" t="s">
        <v>334</v>
      </c>
      <c r="E109" s="9" t="n">
        <v>44937</v>
      </c>
      <c r="F109" s="8" t="str">
        <f aca="false">HYPERLINK("https://mncourtfraud.com/file/MCRO_27-CR-19-19606_Order-Evaluation for Competency to Proceed (Rule 20.01)_2023-01-11_20240430092037.pdf","MCRO_27-CR-19-19606_Order-Evaluation for Competency to Proceed (Rule 20.01)_2023-01-11_20240430092037.pdf")</f>
        <v>MCRO_27-CR-19-19606_Order-Evaluation for Competency to Proceed (Rule 20.01)_2023-01-11_20240430092037.pdf</v>
      </c>
      <c r="G109" s="8" t="str">
        <f aca="false">HYPERLINK("https://mncourtfraud.com/file/2050ff4ea973ffe0b65770d68e559aec281f95f50400fc9f07aed6ef82a65197.png","2050ff4ea973ffe0b65770d68e559aec281f95f50400fc9f07aed6ef82a65197")</f>
        <v>2050ff4ea973ffe0b65770d68e559aec281f95f50400fc9f07aed6ef82a65197</v>
      </c>
      <c r="H109" s="1" t="s">
        <v>1460</v>
      </c>
      <c r="I109" s="3" t="s">
        <v>1500</v>
      </c>
      <c r="J109" s="1" t="s">
        <v>1482</v>
      </c>
      <c r="K109" s="3" t="n">
        <v>3918</v>
      </c>
      <c r="L109" s="15" t="s">
        <v>1487</v>
      </c>
      <c r="M109" s="1" t="s">
        <v>1484</v>
      </c>
      <c r="N109" s="9" t="n">
        <v>44935</v>
      </c>
      <c r="O109" s="10" t="s">
        <v>1501</v>
      </c>
      <c r="P109" s="1" t="n">
        <v>2640</v>
      </c>
      <c r="Q109" s="1" t="n">
        <v>160</v>
      </c>
    </row>
    <row r="110" customFormat="false" ht="18.7" hidden="false" customHeight="true" outlineLevel="0" collapsed="false">
      <c r="A110" s="1" t="n">
        <v>109</v>
      </c>
      <c r="B110" s="7" t="str">
        <f aca="false">HYPERLINK("https://mncourtfraud.com/file/TJ-35.zip","TJ-35.zip")</f>
        <v>TJ-35.zip</v>
      </c>
      <c r="C110" s="8" t="str">
        <f aca="false">HYPERLINK("https://mncourtfraud.com/file/27-CR-20-20037.pdf","27-CR-20-20037")</f>
        <v>27-CR-20-20037</v>
      </c>
      <c r="D110" s="3" t="s">
        <v>334</v>
      </c>
      <c r="E110" s="9" t="n">
        <v>44937</v>
      </c>
      <c r="F110" s="8" t="str">
        <f aca="false">HYPERLINK("https://mncourtfraud.com/file/MCRO_27-CR-20-20037_Order-Evaluation for Competency to Proceed (Rule 20.01)_2023-01-11_20240430090135.pdf","MCRO_27-CR-20-20037_Order-Evaluation for Competency to Proceed (Rule 20.01)_2023-01-11_20240430090135.pdf")</f>
        <v>MCRO_27-CR-20-20037_Order-Evaluation for Competency to Proceed (Rule 20.01)_2023-01-11_20240430090135.pdf</v>
      </c>
      <c r="G110" s="8" t="str">
        <f aca="false">HYPERLINK("https://mncourtfraud.com/file/2050ff4ea973ffe0b65770d68e559aec281f95f50400fc9f07aed6ef82a65197.png","2050ff4ea973ffe0b65770d68e559aec281f95f50400fc9f07aed6ef82a65197")</f>
        <v>2050ff4ea973ffe0b65770d68e559aec281f95f50400fc9f07aed6ef82a65197</v>
      </c>
      <c r="H110" s="1" t="s">
        <v>1460</v>
      </c>
      <c r="I110" s="3" t="s">
        <v>1500</v>
      </c>
      <c r="J110" s="1" t="s">
        <v>1482</v>
      </c>
      <c r="K110" s="3" t="n">
        <v>3918</v>
      </c>
      <c r="L110" s="15" t="s">
        <v>1487</v>
      </c>
      <c r="M110" s="1" t="s">
        <v>1484</v>
      </c>
      <c r="N110" s="9" t="n">
        <v>44935</v>
      </c>
      <c r="O110" s="10" t="s">
        <v>1501</v>
      </c>
      <c r="P110" s="1" t="n">
        <v>2640</v>
      </c>
      <c r="Q110" s="1" t="n">
        <v>160</v>
      </c>
    </row>
    <row r="111" customFormat="false" ht="18.7" hidden="false" customHeight="true" outlineLevel="0" collapsed="false">
      <c r="A111" s="1" t="n">
        <v>110</v>
      </c>
      <c r="B111" s="7" t="str">
        <f aca="false">HYPERLINK("https://mncourtfraud.com/file/TJ-35.zip","TJ-35.zip")</f>
        <v>TJ-35.zip</v>
      </c>
      <c r="C111" s="8" t="str">
        <f aca="false">HYPERLINK("https://mncourtfraud.com/file/27-CR-20-8926.pdf","27-CR-20-8926")</f>
        <v>27-CR-20-8926</v>
      </c>
      <c r="D111" s="3" t="s">
        <v>334</v>
      </c>
      <c r="E111" s="9" t="n">
        <v>44937</v>
      </c>
      <c r="F111" s="8" t="str">
        <f aca="false">HYPERLINK("https://mncourtfraud.com/file/MCRO_27-CR-20-8926_Order-Evaluation for Competency to Proceed (Rule 20.01)_2023-01-11_20240430085432.pdf","MCRO_27-CR-20-8926_Order-Evaluation for Competency to Proceed (Rule 20.01)_2023-01-11_20240430085432.pdf")</f>
        <v>MCRO_27-CR-20-8926_Order-Evaluation for Competency to Proceed (Rule 20.01)_2023-01-11_20240430085432.pdf</v>
      </c>
      <c r="G111" s="8" t="str">
        <f aca="false">HYPERLINK("https://mncourtfraud.com/file/2050ff4ea973ffe0b65770d68e559aec281f95f50400fc9f07aed6ef82a65197.png","2050ff4ea973ffe0b65770d68e559aec281f95f50400fc9f07aed6ef82a65197")</f>
        <v>2050ff4ea973ffe0b65770d68e559aec281f95f50400fc9f07aed6ef82a65197</v>
      </c>
      <c r="H111" s="1" t="s">
        <v>1460</v>
      </c>
      <c r="I111" s="3" t="s">
        <v>1500</v>
      </c>
      <c r="J111" s="1" t="s">
        <v>1482</v>
      </c>
      <c r="K111" s="3" t="n">
        <v>3918</v>
      </c>
      <c r="L111" s="15" t="s">
        <v>1487</v>
      </c>
      <c r="M111" s="1" t="s">
        <v>1484</v>
      </c>
      <c r="N111" s="9" t="n">
        <v>44935</v>
      </c>
      <c r="O111" s="10" t="s">
        <v>1501</v>
      </c>
      <c r="P111" s="1" t="n">
        <v>2640</v>
      </c>
      <c r="Q111" s="1" t="n">
        <v>160</v>
      </c>
    </row>
    <row r="112" customFormat="false" ht="18.7" hidden="false" customHeight="true" outlineLevel="0" collapsed="false">
      <c r="A112" s="1" t="n">
        <v>111</v>
      </c>
      <c r="B112" s="7" t="str">
        <f aca="false">HYPERLINK("https://mncourtfraud.com/file/TJ-35.zip","TJ-35.zip")</f>
        <v>TJ-35.zip</v>
      </c>
      <c r="C112" s="8" t="str">
        <f aca="false">HYPERLINK("https://mncourtfraud.com/file/27-CR-21-19552.pdf","27-CR-21-19552")</f>
        <v>27-CR-21-19552</v>
      </c>
      <c r="D112" s="3" t="s">
        <v>334</v>
      </c>
      <c r="E112" s="9" t="n">
        <v>44937</v>
      </c>
      <c r="F112" s="8" t="str">
        <f aca="false">HYPERLINK("https://mncourtfraud.com/file/MCRO_27-CR-21-19552_Order-Evaluation for Competency to Proceed (Rule 20.01)_2023-01-11_20240430082838.pdf","MCRO_27-CR-21-19552_Order-Evaluation for Competency to Proceed (Rule 20.01)_2023-01-11_20240430082838.pdf")</f>
        <v>MCRO_27-CR-21-19552_Order-Evaluation for Competency to Proceed (Rule 20.01)_2023-01-11_20240430082838.pdf</v>
      </c>
      <c r="G112" s="8" t="str">
        <f aca="false">HYPERLINK("https://mncourtfraud.com/file/2050ff4ea973ffe0b65770d68e559aec281f95f50400fc9f07aed6ef82a65197.png","2050ff4ea973ffe0b65770d68e559aec281f95f50400fc9f07aed6ef82a65197")</f>
        <v>2050ff4ea973ffe0b65770d68e559aec281f95f50400fc9f07aed6ef82a65197</v>
      </c>
      <c r="H112" s="1" t="s">
        <v>1460</v>
      </c>
      <c r="I112" s="3" t="s">
        <v>1500</v>
      </c>
      <c r="J112" s="1" t="s">
        <v>1482</v>
      </c>
      <c r="K112" s="3" t="n">
        <v>3918</v>
      </c>
      <c r="L112" s="15" t="s">
        <v>1487</v>
      </c>
      <c r="M112" s="1" t="s">
        <v>1484</v>
      </c>
      <c r="N112" s="9" t="n">
        <v>44935</v>
      </c>
      <c r="O112" s="10" t="s">
        <v>1501</v>
      </c>
      <c r="P112" s="1" t="n">
        <v>2640</v>
      </c>
      <c r="Q112" s="1" t="n">
        <v>160</v>
      </c>
    </row>
    <row r="113" customFormat="false" ht="18.7" hidden="false" customHeight="true" outlineLevel="0" collapsed="false">
      <c r="A113" s="1" t="n">
        <v>112</v>
      </c>
      <c r="B113" s="7" t="str">
        <f aca="false">HYPERLINK("https://mncourtfraud.com/file/TJ-35.zip","TJ-35.zip")</f>
        <v>TJ-35.zip</v>
      </c>
      <c r="C113" s="8" t="str">
        <f aca="false">HYPERLINK("https://mncourtfraud.com/file/27-CR-21-23233.pdf","27-CR-21-23233")</f>
        <v>27-CR-21-23233</v>
      </c>
      <c r="D113" s="3" t="s">
        <v>334</v>
      </c>
      <c r="E113" s="9" t="n">
        <v>44937</v>
      </c>
      <c r="F113" s="8" t="str">
        <f aca="false">HYPERLINK("https://mncourtfraud.com/file/MCRO_27-CR-21-23233_Order-Evaluation for Competency to Proceed (Rule 20.01)_2023-01-11_20240430084217.pdf","MCRO_27-CR-21-23233_Order-Evaluation for Competency to Proceed (Rule 20.01)_2023-01-11_20240430084217.pdf")</f>
        <v>MCRO_27-CR-21-23233_Order-Evaluation for Competency to Proceed (Rule 20.01)_2023-01-11_20240430084217.pdf</v>
      </c>
      <c r="G113" s="8" t="str">
        <f aca="false">HYPERLINK("https://mncourtfraud.com/file/2050ff4ea973ffe0b65770d68e559aec281f95f50400fc9f07aed6ef82a65197.png","2050ff4ea973ffe0b65770d68e559aec281f95f50400fc9f07aed6ef82a65197")</f>
        <v>2050ff4ea973ffe0b65770d68e559aec281f95f50400fc9f07aed6ef82a65197</v>
      </c>
      <c r="H113" s="1" t="s">
        <v>1460</v>
      </c>
      <c r="I113" s="3" t="s">
        <v>1500</v>
      </c>
      <c r="J113" s="1" t="s">
        <v>1482</v>
      </c>
      <c r="K113" s="3" t="n">
        <v>3918</v>
      </c>
      <c r="L113" s="15" t="s">
        <v>1487</v>
      </c>
      <c r="M113" s="1" t="s">
        <v>1484</v>
      </c>
      <c r="N113" s="9" t="n">
        <v>44935</v>
      </c>
      <c r="O113" s="10" t="s">
        <v>1501</v>
      </c>
      <c r="P113" s="1" t="n">
        <v>2640</v>
      </c>
      <c r="Q113" s="1" t="n">
        <v>160</v>
      </c>
    </row>
    <row r="114" customFormat="false" ht="18.7" hidden="false" customHeight="true" outlineLevel="0" collapsed="false">
      <c r="A114" s="1" t="n">
        <v>113</v>
      </c>
      <c r="B114" s="7" t="str">
        <f aca="false">HYPERLINK("https://mncourtfraud.com/file/TJ-35.zip","TJ-35.zip")</f>
        <v>TJ-35.zip</v>
      </c>
      <c r="C114" s="8" t="str">
        <f aca="false">HYPERLINK("https://mncourtfraud.com/file/27-CR-22-1165.pdf","27-CR-22-1165")</f>
        <v>27-CR-22-1165</v>
      </c>
      <c r="D114" s="3" t="s">
        <v>334</v>
      </c>
      <c r="E114" s="9" t="n">
        <v>44937</v>
      </c>
      <c r="F114" s="8" t="str">
        <f aca="false">HYPERLINK("https://mncourtfraud.com/file/MCRO_27-CR-22-1165_Order-Evaluation for Competency to Proceed (Rule 20.01)_2023-01-11_20240429030428.pdf","MCRO_27-CR-22-1165_Order-Evaluation for Competency to Proceed (Rule 20.01)_2023-01-11_20240429030428.pdf")</f>
        <v>MCRO_27-CR-22-1165_Order-Evaluation for Competency to Proceed (Rule 20.01)_2023-01-11_20240429030428.pdf</v>
      </c>
      <c r="G114" s="8" t="str">
        <f aca="false">HYPERLINK("https://mncourtfraud.com/file/2050ff4ea973ffe0b65770d68e559aec281f95f50400fc9f07aed6ef82a65197.png","2050ff4ea973ffe0b65770d68e559aec281f95f50400fc9f07aed6ef82a65197")</f>
        <v>2050ff4ea973ffe0b65770d68e559aec281f95f50400fc9f07aed6ef82a65197</v>
      </c>
      <c r="H114" s="1" t="s">
        <v>1460</v>
      </c>
      <c r="I114" s="3" t="s">
        <v>1500</v>
      </c>
      <c r="J114" s="1" t="s">
        <v>1482</v>
      </c>
      <c r="K114" s="3" t="n">
        <v>3918</v>
      </c>
      <c r="L114" s="15" t="s">
        <v>1487</v>
      </c>
      <c r="M114" s="1" t="s">
        <v>1484</v>
      </c>
      <c r="N114" s="9" t="n">
        <v>44935</v>
      </c>
      <c r="O114" s="10" t="s">
        <v>1501</v>
      </c>
      <c r="P114" s="1" t="n">
        <v>2640</v>
      </c>
      <c r="Q114" s="1" t="n">
        <v>160</v>
      </c>
    </row>
    <row r="115" customFormat="false" ht="18.7" hidden="false" customHeight="true" outlineLevel="0" collapsed="false">
      <c r="A115" s="1" t="n">
        <v>114</v>
      </c>
      <c r="B115" s="7" t="str">
        <f aca="false">HYPERLINK("https://mncourtfraud.com/file/TJ-35.zip","TJ-35.zip")</f>
        <v>TJ-35.zip</v>
      </c>
      <c r="C115" s="8" t="str">
        <f aca="false">HYPERLINK("https://mncourtfraud.com/file/27-CR-22-4898.pdf","27-CR-22-4898")</f>
        <v>27-CR-22-4898</v>
      </c>
      <c r="D115" s="3" t="s">
        <v>334</v>
      </c>
      <c r="E115" s="9" t="n">
        <v>44937</v>
      </c>
      <c r="F115" s="8" t="str">
        <f aca="false">HYPERLINK("https://mncourtfraud.com/file/MCRO_27-CR-22-4898_Order-Evaluation for Competency to Proceed (Rule 20.01)_2023-01-11_20240429040218.pdf","MCRO_27-CR-22-4898_Order-Evaluation for Competency to Proceed (Rule 20.01)_2023-01-11_20240429040218.pdf")</f>
        <v>MCRO_27-CR-22-4898_Order-Evaluation for Competency to Proceed (Rule 20.01)_2023-01-11_20240429040218.pdf</v>
      </c>
      <c r="G115" s="8" t="str">
        <f aca="false">HYPERLINK("https://mncourtfraud.com/file/2050ff4ea973ffe0b65770d68e559aec281f95f50400fc9f07aed6ef82a65197.png","2050ff4ea973ffe0b65770d68e559aec281f95f50400fc9f07aed6ef82a65197")</f>
        <v>2050ff4ea973ffe0b65770d68e559aec281f95f50400fc9f07aed6ef82a65197</v>
      </c>
      <c r="H115" s="1" t="s">
        <v>1460</v>
      </c>
      <c r="I115" s="3" t="s">
        <v>1500</v>
      </c>
      <c r="J115" s="1" t="s">
        <v>1482</v>
      </c>
      <c r="K115" s="3" t="n">
        <v>3918</v>
      </c>
      <c r="L115" s="15" t="s">
        <v>1487</v>
      </c>
      <c r="M115" s="1" t="s">
        <v>1484</v>
      </c>
      <c r="N115" s="9" t="n">
        <v>44935</v>
      </c>
      <c r="O115" s="10" t="s">
        <v>1501</v>
      </c>
      <c r="P115" s="1" t="n">
        <v>2640</v>
      </c>
      <c r="Q115" s="1" t="n">
        <v>160</v>
      </c>
    </row>
    <row r="116" customFormat="false" ht="18.7" hidden="false" customHeight="true" outlineLevel="0" collapsed="false">
      <c r="A116" s="1" t="n">
        <v>115</v>
      </c>
      <c r="E116" s="9"/>
      <c r="K116" s="3"/>
      <c r="L116" s="15"/>
      <c r="N116" s="9"/>
      <c r="O116" s="10"/>
      <c r="P116" s="1"/>
      <c r="Q116" s="1"/>
    </row>
    <row r="117" customFormat="false" ht="18.7" hidden="false" customHeight="true" outlineLevel="0" collapsed="false">
      <c r="A117" s="1" t="n">
        <v>116</v>
      </c>
      <c r="B117" s="7" t="str">
        <f aca="false">HYPERLINK("https://mncourtfraud.com/file/TJ-36.zip","TJ-36.zip")</f>
        <v>TJ-36.zip</v>
      </c>
      <c r="C117" s="8" t="str">
        <f aca="false">HYPERLINK("https://mncourtfraud.com/file/27-CR-19-12466.pdf","27-CR-19-12466")</f>
        <v>27-CR-19-12466</v>
      </c>
      <c r="D117" s="3" t="s">
        <v>334</v>
      </c>
      <c r="E117" s="9" t="n">
        <v>45282</v>
      </c>
      <c r="F117" s="8" t="str">
        <f aca="false">HYPERLINK("https://mncourtfraud.com/file/MCRO_27-CR-19-12466_Order-Evaluation for Competency to Proceed (Rule 20.01)_2023-12-22_20240430091814.pdf","MCRO_27-CR-19-12466_Order-Evaluation for Competency to Proceed (Rule 20.01)_2023-12-22_20240430091814.pdf")</f>
        <v>MCRO_27-CR-19-12466_Order-Evaluation for Competency to Proceed (Rule 20.01)_2023-12-22_20240430091814.pdf</v>
      </c>
      <c r="G117" s="8" t="str">
        <f aca="false">HYPERLINK("https://mncourtfraud.com/file/6e142c6945e7db675e834ed17de4f029b686ec569b261cc3b45e077f255fa101.png","6e142c6945e7db675e834ed17de4f029b686ec569b261cc3b45e077f255fa101")</f>
        <v>6e142c6945e7db675e834ed17de4f029b686ec569b261cc3b45e077f255fa101</v>
      </c>
      <c r="H117" s="1" t="s">
        <v>1460</v>
      </c>
      <c r="I117" s="3" t="s">
        <v>1502</v>
      </c>
      <c r="J117" s="1" t="s">
        <v>1482</v>
      </c>
      <c r="K117" s="3" t="n">
        <v>4891</v>
      </c>
      <c r="L117" s="15" t="s">
        <v>1483</v>
      </c>
      <c r="M117" s="1" t="s">
        <v>1484</v>
      </c>
      <c r="N117" s="9" t="n">
        <v>45281</v>
      </c>
      <c r="O117" s="10" t="s">
        <v>1501</v>
      </c>
      <c r="P117" s="1" t="n">
        <v>2200</v>
      </c>
      <c r="Q117" s="1" t="n">
        <v>190</v>
      </c>
    </row>
    <row r="118" customFormat="false" ht="18.7" hidden="false" customHeight="true" outlineLevel="0" collapsed="false">
      <c r="A118" s="1" t="n">
        <v>117</v>
      </c>
      <c r="B118" s="7" t="str">
        <f aca="false">HYPERLINK("https://mncourtfraud.com/file/TJ-36.zip","TJ-36.zip")</f>
        <v>TJ-36.zip</v>
      </c>
      <c r="C118" s="8" t="str">
        <f aca="false">HYPERLINK("https://mncourtfraud.com/file/27-CR-19-19606.pdf","27-CR-19-19606")</f>
        <v>27-CR-19-19606</v>
      </c>
      <c r="D118" s="3" t="s">
        <v>334</v>
      </c>
      <c r="E118" s="9" t="n">
        <v>45282</v>
      </c>
      <c r="F118" s="8" t="str">
        <f aca="false">HYPERLINK("https://mncourtfraud.com/file/MCRO_27-CR-19-19606_Order-Evaluation for Competency to Proceed (Rule 20.01)_2023-12-22_20240430092033.pdf","MCRO_27-CR-19-19606_Order-Evaluation for Competency to Proceed (Rule 20.01)_2023-12-22_20240430092033.pdf")</f>
        <v>MCRO_27-CR-19-19606_Order-Evaluation for Competency to Proceed (Rule 20.01)_2023-12-22_20240430092033.pdf</v>
      </c>
      <c r="G118" s="8" t="str">
        <f aca="false">HYPERLINK("https://mncourtfraud.com/file/6e142c6945e7db675e834ed17de4f029b686ec569b261cc3b45e077f255fa101.png","6e142c6945e7db675e834ed17de4f029b686ec569b261cc3b45e077f255fa101")</f>
        <v>6e142c6945e7db675e834ed17de4f029b686ec569b261cc3b45e077f255fa101</v>
      </c>
      <c r="H118" s="1" t="s">
        <v>1460</v>
      </c>
      <c r="I118" s="3" t="s">
        <v>1502</v>
      </c>
      <c r="J118" s="1" t="s">
        <v>1482</v>
      </c>
      <c r="K118" s="3" t="n">
        <v>4891</v>
      </c>
      <c r="L118" s="15" t="s">
        <v>1483</v>
      </c>
      <c r="M118" s="1" t="s">
        <v>1484</v>
      </c>
      <c r="N118" s="9" t="n">
        <v>45281</v>
      </c>
      <c r="O118" s="10" t="s">
        <v>1501</v>
      </c>
      <c r="P118" s="1" t="n">
        <v>2200</v>
      </c>
      <c r="Q118" s="1" t="n">
        <v>190</v>
      </c>
    </row>
    <row r="119" customFormat="false" ht="18.7" hidden="false" customHeight="true" outlineLevel="0" collapsed="false">
      <c r="A119" s="1" t="n">
        <v>118</v>
      </c>
      <c r="B119" s="7" t="str">
        <f aca="false">HYPERLINK("https://mncourtfraud.com/file/TJ-36.zip","TJ-36.zip")</f>
        <v>TJ-36.zip</v>
      </c>
      <c r="C119" s="8" t="str">
        <f aca="false">HYPERLINK("https://mncourtfraud.com/file/27-CR-20-20037.pdf","27-CR-20-20037")</f>
        <v>27-CR-20-20037</v>
      </c>
      <c r="D119" s="3" t="s">
        <v>334</v>
      </c>
      <c r="E119" s="9" t="n">
        <v>45282</v>
      </c>
      <c r="F119" s="8" t="str">
        <f aca="false">HYPERLINK("https://mncourtfraud.com/file/MCRO_27-CR-20-20037_Order-Evaluation for Competency to Proceed (Rule 20.01)_2023-12-22_20240430090132.pdf","MCRO_27-CR-20-20037_Order-Evaluation for Competency to Proceed (Rule 20.01)_2023-12-22_20240430090132.pdf")</f>
        <v>MCRO_27-CR-20-20037_Order-Evaluation for Competency to Proceed (Rule 20.01)_2023-12-22_20240430090132.pdf</v>
      </c>
      <c r="G119" s="8" t="str">
        <f aca="false">HYPERLINK("https://mncourtfraud.com/file/6e142c6945e7db675e834ed17de4f029b686ec569b261cc3b45e077f255fa101.png","6e142c6945e7db675e834ed17de4f029b686ec569b261cc3b45e077f255fa101")</f>
        <v>6e142c6945e7db675e834ed17de4f029b686ec569b261cc3b45e077f255fa101</v>
      </c>
      <c r="H119" s="1" t="s">
        <v>1460</v>
      </c>
      <c r="I119" s="3" t="s">
        <v>1502</v>
      </c>
      <c r="J119" s="1" t="s">
        <v>1482</v>
      </c>
      <c r="K119" s="3" t="n">
        <v>4891</v>
      </c>
      <c r="L119" s="15" t="s">
        <v>1483</v>
      </c>
      <c r="M119" s="1" t="s">
        <v>1484</v>
      </c>
      <c r="N119" s="9" t="n">
        <v>45281</v>
      </c>
      <c r="O119" s="10" t="s">
        <v>1501</v>
      </c>
      <c r="P119" s="1" t="n">
        <v>2200</v>
      </c>
      <c r="Q119" s="1" t="n">
        <v>190</v>
      </c>
    </row>
    <row r="120" customFormat="false" ht="18.7" hidden="false" customHeight="true" outlineLevel="0" collapsed="false">
      <c r="A120" s="1" t="n">
        <v>119</v>
      </c>
      <c r="B120" s="7" t="str">
        <f aca="false">HYPERLINK("https://mncourtfraud.com/file/TJ-36.zip","TJ-36.zip")</f>
        <v>TJ-36.zip</v>
      </c>
      <c r="C120" s="8" t="str">
        <f aca="false">HYPERLINK("https://mncourtfraud.com/file/27-CR-20-8926.pdf","27-CR-20-8926")</f>
        <v>27-CR-20-8926</v>
      </c>
      <c r="D120" s="3" t="s">
        <v>334</v>
      </c>
      <c r="E120" s="9" t="n">
        <v>45282</v>
      </c>
      <c r="F120" s="8" t="str">
        <f aca="false">HYPERLINK("https://mncourtfraud.com/file/MCRO_27-CR-20-8926_Order-Evaluation for Competency to Proceed (Rule 20.01)_2023-12-22_20240430085429.pdf","MCRO_27-CR-20-8926_Order-Evaluation for Competency to Proceed (Rule 20.01)_2023-12-22_20240430085429.pdf")</f>
        <v>MCRO_27-CR-20-8926_Order-Evaluation for Competency to Proceed (Rule 20.01)_2023-12-22_20240430085429.pdf</v>
      </c>
      <c r="G120" s="8" t="str">
        <f aca="false">HYPERLINK("https://mncourtfraud.com/file/6e142c6945e7db675e834ed17de4f029b686ec569b261cc3b45e077f255fa101.png","6e142c6945e7db675e834ed17de4f029b686ec569b261cc3b45e077f255fa101")</f>
        <v>6e142c6945e7db675e834ed17de4f029b686ec569b261cc3b45e077f255fa101</v>
      </c>
      <c r="H120" s="1" t="s">
        <v>1460</v>
      </c>
      <c r="I120" s="3" t="s">
        <v>1502</v>
      </c>
      <c r="J120" s="1" t="s">
        <v>1482</v>
      </c>
      <c r="K120" s="3" t="n">
        <v>4891</v>
      </c>
      <c r="L120" s="15" t="s">
        <v>1483</v>
      </c>
      <c r="M120" s="1" t="s">
        <v>1484</v>
      </c>
      <c r="N120" s="9" t="n">
        <v>45281</v>
      </c>
      <c r="O120" s="10" t="s">
        <v>1501</v>
      </c>
      <c r="P120" s="1" t="n">
        <v>2200</v>
      </c>
      <c r="Q120" s="1" t="n">
        <v>190</v>
      </c>
    </row>
    <row r="121" customFormat="false" ht="18.7" hidden="false" customHeight="true" outlineLevel="0" collapsed="false">
      <c r="A121" s="1" t="n">
        <v>120</v>
      </c>
      <c r="B121" s="7" t="str">
        <f aca="false">HYPERLINK("https://mncourtfraud.com/file/TJ-36.zip","TJ-36.zip")</f>
        <v>TJ-36.zip</v>
      </c>
      <c r="C121" s="8" t="str">
        <f aca="false">HYPERLINK("https://mncourtfraud.com/file/27-CR-21-19552.pdf","27-CR-21-19552")</f>
        <v>27-CR-21-19552</v>
      </c>
      <c r="D121" s="3" t="s">
        <v>334</v>
      </c>
      <c r="E121" s="9" t="n">
        <v>45282</v>
      </c>
      <c r="F121" s="8" t="str">
        <f aca="false">HYPERLINK("https://mncourtfraud.com/file/MCRO_27-CR-21-19552_Order-Evaluation for Competency to Proceed (Rule 20.01)_2023-12-22_20240430082835.pdf","MCRO_27-CR-21-19552_Order-Evaluation for Competency to Proceed (Rule 20.01)_2023-12-22_20240430082835.pdf")</f>
        <v>MCRO_27-CR-21-19552_Order-Evaluation for Competency to Proceed (Rule 20.01)_2023-12-22_20240430082835.pdf</v>
      </c>
      <c r="G121" s="8" t="str">
        <f aca="false">HYPERLINK("https://mncourtfraud.com/file/6e142c6945e7db675e834ed17de4f029b686ec569b261cc3b45e077f255fa101.png","6e142c6945e7db675e834ed17de4f029b686ec569b261cc3b45e077f255fa101")</f>
        <v>6e142c6945e7db675e834ed17de4f029b686ec569b261cc3b45e077f255fa101</v>
      </c>
      <c r="H121" s="1" t="s">
        <v>1460</v>
      </c>
      <c r="I121" s="3" t="s">
        <v>1502</v>
      </c>
      <c r="J121" s="1" t="s">
        <v>1482</v>
      </c>
      <c r="K121" s="3" t="n">
        <v>4891</v>
      </c>
      <c r="L121" s="15" t="s">
        <v>1483</v>
      </c>
      <c r="M121" s="1" t="s">
        <v>1484</v>
      </c>
      <c r="N121" s="9" t="n">
        <v>45281</v>
      </c>
      <c r="O121" s="10" t="s">
        <v>1501</v>
      </c>
      <c r="P121" s="1" t="n">
        <v>2200</v>
      </c>
      <c r="Q121" s="1" t="n">
        <v>190</v>
      </c>
    </row>
    <row r="122" customFormat="false" ht="18.7" hidden="false" customHeight="true" outlineLevel="0" collapsed="false">
      <c r="A122" s="1" t="n">
        <v>121</v>
      </c>
      <c r="B122" s="7" t="str">
        <f aca="false">HYPERLINK("https://mncourtfraud.com/file/TJ-36.zip","TJ-36.zip")</f>
        <v>TJ-36.zip</v>
      </c>
      <c r="C122" s="8" t="str">
        <f aca="false">HYPERLINK("https://mncourtfraud.com/file/27-CR-21-23233.pdf","27-CR-21-23233")</f>
        <v>27-CR-21-23233</v>
      </c>
      <c r="D122" s="3" t="s">
        <v>334</v>
      </c>
      <c r="E122" s="9" t="n">
        <v>45282</v>
      </c>
      <c r="F122" s="8" t="str">
        <f aca="false">HYPERLINK("https://mncourtfraud.com/file/MCRO_27-CR-21-23233_Order-Evaluation for Competency to Proceed (Rule 20.01)_2023-12-22_20240430084214.pdf","MCRO_27-CR-21-23233_Order-Evaluation for Competency to Proceed (Rule 20.01)_2023-12-22_20240430084214.pdf")</f>
        <v>MCRO_27-CR-21-23233_Order-Evaluation for Competency to Proceed (Rule 20.01)_2023-12-22_20240430084214.pdf</v>
      </c>
      <c r="G122" s="8" t="str">
        <f aca="false">HYPERLINK("https://mncourtfraud.com/file/6e142c6945e7db675e834ed17de4f029b686ec569b261cc3b45e077f255fa101.png","6e142c6945e7db675e834ed17de4f029b686ec569b261cc3b45e077f255fa101")</f>
        <v>6e142c6945e7db675e834ed17de4f029b686ec569b261cc3b45e077f255fa101</v>
      </c>
      <c r="H122" s="1" t="s">
        <v>1460</v>
      </c>
      <c r="I122" s="3" t="s">
        <v>1502</v>
      </c>
      <c r="J122" s="1" t="s">
        <v>1482</v>
      </c>
      <c r="K122" s="3" t="n">
        <v>4891</v>
      </c>
      <c r="L122" s="15" t="s">
        <v>1483</v>
      </c>
      <c r="M122" s="1" t="s">
        <v>1484</v>
      </c>
      <c r="N122" s="9" t="n">
        <v>45281</v>
      </c>
      <c r="O122" s="10" t="s">
        <v>1501</v>
      </c>
      <c r="P122" s="1" t="n">
        <v>2200</v>
      </c>
      <c r="Q122" s="1" t="n">
        <v>190</v>
      </c>
    </row>
    <row r="123" customFormat="false" ht="18.7" hidden="false" customHeight="true" outlineLevel="0" collapsed="false">
      <c r="A123" s="1" t="n">
        <v>122</v>
      </c>
      <c r="B123" s="7" t="str">
        <f aca="false">HYPERLINK("https://mncourtfraud.com/file/TJ-36.zip","TJ-36.zip")</f>
        <v>TJ-36.zip</v>
      </c>
      <c r="C123" s="8" t="str">
        <f aca="false">HYPERLINK("https://mncourtfraud.com/file/27-CR-22-1165.pdf","27-CR-22-1165")</f>
        <v>27-CR-22-1165</v>
      </c>
      <c r="D123" s="3" t="s">
        <v>334</v>
      </c>
      <c r="E123" s="9" t="n">
        <v>45282</v>
      </c>
      <c r="F123" s="8" t="str">
        <f aca="false">HYPERLINK("https://mncourtfraud.com/file/MCRO_27-CR-22-1165_Order-Evaluation for Competency to Proceed (Rule 20.01)_2023-12-22_20240429030426.pdf","MCRO_27-CR-22-1165_Order-Evaluation for Competency to Proceed (Rule 20.01)_2023-12-22_20240429030426.pdf")</f>
        <v>MCRO_27-CR-22-1165_Order-Evaluation for Competency to Proceed (Rule 20.01)_2023-12-22_20240429030426.pdf</v>
      </c>
      <c r="G123" s="8" t="str">
        <f aca="false">HYPERLINK("https://mncourtfraud.com/file/6e142c6945e7db675e834ed17de4f029b686ec569b261cc3b45e077f255fa101.png","6e142c6945e7db675e834ed17de4f029b686ec569b261cc3b45e077f255fa101")</f>
        <v>6e142c6945e7db675e834ed17de4f029b686ec569b261cc3b45e077f255fa101</v>
      </c>
      <c r="H123" s="1" t="s">
        <v>1460</v>
      </c>
      <c r="I123" s="3" t="s">
        <v>1502</v>
      </c>
      <c r="J123" s="1" t="s">
        <v>1482</v>
      </c>
      <c r="K123" s="3" t="n">
        <v>4891</v>
      </c>
      <c r="L123" s="15" t="s">
        <v>1483</v>
      </c>
      <c r="M123" s="1" t="s">
        <v>1484</v>
      </c>
      <c r="N123" s="9" t="n">
        <v>45281</v>
      </c>
      <c r="O123" s="10" t="s">
        <v>1501</v>
      </c>
      <c r="P123" s="1" t="n">
        <v>2200</v>
      </c>
      <c r="Q123" s="1" t="n">
        <v>190</v>
      </c>
    </row>
    <row r="124" customFormat="false" ht="18.7" hidden="false" customHeight="true" outlineLevel="0" collapsed="false">
      <c r="A124" s="1" t="n">
        <v>123</v>
      </c>
      <c r="B124" s="7" t="str">
        <f aca="false">HYPERLINK("https://mncourtfraud.com/file/TJ-36.zip","TJ-36.zip")</f>
        <v>TJ-36.zip</v>
      </c>
      <c r="C124" s="8" t="str">
        <f aca="false">HYPERLINK("https://mncourtfraud.com/file/27-CR-22-4898.pdf","27-CR-22-4898")</f>
        <v>27-CR-22-4898</v>
      </c>
      <c r="D124" s="3" t="s">
        <v>334</v>
      </c>
      <c r="E124" s="9" t="n">
        <v>45282</v>
      </c>
      <c r="F124" s="8" t="str">
        <f aca="false">HYPERLINK("https://mncourtfraud.com/file/MCRO_27-CR-22-4898_Order-Evaluation for Competency to Proceed (Rule 20.01)_2023-12-22_20240429040216.pdf","MCRO_27-CR-22-4898_Order-Evaluation for Competency to Proceed (Rule 20.01)_2023-12-22_20240429040216.pdf")</f>
        <v>MCRO_27-CR-22-4898_Order-Evaluation for Competency to Proceed (Rule 20.01)_2023-12-22_20240429040216.pdf</v>
      </c>
      <c r="G124" s="8" t="str">
        <f aca="false">HYPERLINK("https://mncourtfraud.com/file/6e142c6945e7db675e834ed17de4f029b686ec569b261cc3b45e077f255fa101.png","6e142c6945e7db675e834ed17de4f029b686ec569b261cc3b45e077f255fa101")</f>
        <v>6e142c6945e7db675e834ed17de4f029b686ec569b261cc3b45e077f255fa101</v>
      </c>
      <c r="H124" s="1" t="s">
        <v>1460</v>
      </c>
      <c r="I124" s="3" t="s">
        <v>1502</v>
      </c>
      <c r="J124" s="1" t="s">
        <v>1482</v>
      </c>
      <c r="K124" s="3" t="n">
        <v>4891</v>
      </c>
      <c r="L124" s="15" t="s">
        <v>1483</v>
      </c>
      <c r="M124" s="1" t="s">
        <v>1484</v>
      </c>
      <c r="N124" s="9" t="n">
        <v>45281</v>
      </c>
      <c r="O124" s="10" t="s">
        <v>1501</v>
      </c>
      <c r="P124" s="1" t="n">
        <v>2200</v>
      </c>
      <c r="Q124" s="1" t="n">
        <v>190</v>
      </c>
    </row>
    <row r="125" customFormat="false" ht="18.7" hidden="false" customHeight="true" outlineLevel="0" collapsed="false">
      <c r="A125" s="1" t="n">
        <v>124</v>
      </c>
      <c r="B125" s="7" t="str">
        <f aca="false">HYPERLINK("https://mncourtfraud.com/file/TJ-36.zip","TJ-36.zip")</f>
        <v>TJ-36.zip</v>
      </c>
      <c r="C125" s="8" t="str">
        <f aca="false">HYPERLINK("https://mncourtfraud.com/file/27-CR-23-8649.pdf","27-CR-23-8649")</f>
        <v>27-CR-23-8649</v>
      </c>
      <c r="D125" s="3" t="s">
        <v>334</v>
      </c>
      <c r="E125" s="9" t="n">
        <v>45282</v>
      </c>
      <c r="F125" s="8" t="str">
        <f aca="false">HYPERLINK("https://mncourtfraud.com/file/MCRO_27-CR-23-8649_Order-Evaluation for Competency to Proceed (Rule 20.01)_2023-12-22_20240430073555.pdf","MCRO_27-CR-23-8649_Order-Evaluation for Competency to Proceed (Rule 20.01)_2023-12-22_20240430073555.pdf")</f>
        <v>MCRO_27-CR-23-8649_Order-Evaluation for Competency to Proceed (Rule 20.01)_2023-12-22_20240430073555.pdf</v>
      </c>
      <c r="G125" s="8" t="str">
        <f aca="false">HYPERLINK("https://mncourtfraud.com/file/6e142c6945e7db675e834ed17de4f029b686ec569b261cc3b45e077f255fa101.png","6e142c6945e7db675e834ed17de4f029b686ec569b261cc3b45e077f255fa101")</f>
        <v>6e142c6945e7db675e834ed17de4f029b686ec569b261cc3b45e077f255fa101</v>
      </c>
      <c r="H125" s="1" t="s">
        <v>1460</v>
      </c>
      <c r="I125" s="3" t="s">
        <v>1502</v>
      </c>
      <c r="J125" s="1" t="s">
        <v>1482</v>
      </c>
      <c r="K125" s="3" t="n">
        <v>4891</v>
      </c>
      <c r="L125" s="15" t="s">
        <v>1483</v>
      </c>
      <c r="M125" s="1" t="s">
        <v>1484</v>
      </c>
      <c r="N125" s="9" t="n">
        <v>45281</v>
      </c>
      <c r="O125" s="10" t="s">
        <v>1501</v>
      </c>
      <c r="P125" s="1" t="n">
        <v>2200</v>
      </c>
      <c r="Q125" s="1" t="n">
        <v>190</v>
      </c>
    </row>
    <row r="126" customFormat="false" ht="18.7" hidden="false" customHeight="true" outlineLevel="0" collapsed="false">
      <c r="A126" s="1" t="n">
        <v>125</v>
      </c>
      <c r="E126" s="9"/>
      <c r="K126" s="3"/>
      <c r="L126" s="15"/>
      <c r="N126" s="9"/>
      <c r="O126" s="10"/>
      <c r="P126" s="1"/>
      <c r="Q126" s="1"/>
    </row>
    <row r="127" customFormat="false" ht="18.7" hidden="false" customHeight="true" outlineLevel="0" collapsed="false">
      <c r="A127" s="1" t="n">
        <v>126</v>
      </c>
      <c r="B127" s="7" t="str">
        <f aca="false">HYPERLINK("https://mncourtfraud.com/file/TJ-37.zip","TJ-37.zip")</f>
        <v>TJ-37.zip</v>
      </c>
      <c r="C127" s="8" t="str">
        <f aca="false">HYPERLINK("https://mncourtfraud.com/file/27-CR-19-12466.pdf","27-CR-19-12466")</f>
        <v>27-CR-19-12466</v>
      </c>
      <c r="D127" s="3" t="s">
        <v>334</v>
      </c>
      <c r="E127" s="9" t="n">
        <v>44580</v>
      </c>
      <c r="F127" s="8" t="str">
        <f aca="false">HYPERLINK("https://mncourtfraud.com/file/MCRO_27-CR-19-12466_Order-Evaluation for Competency to Proceed (Rule 20.01)_2022-01-19_20240430091830.pdf","MCRO_27-CR-19-12466_Order-Evaluation for Competency to Proceed (Rule 20.01)_2022-01-19_20240430091830.pdf")</f>
        <v>MCRO_27-CR-19-12466_Order-Evaluation for Competency to Proceed (Rule 20.01)_2022-01-19_20240430091830.pdf</v>
      </c>
      <c r="G127" s="8" t="str">
        <f aca="false">HYPERLINK("https://mncourtfraud.com/file/986c9584be7fad27b4ce5a6f33c0359307aed926953edeba02a9b231a5d6baca.png","986c9584be7fad27b4ce5a6f33c0359307aed926953edeba02a9b231a5d6baca")</f>
        <v>986c9584be7fad27b4ce5a6f33c0359307aed926953edeba02a9b231a5d6baca</v>
      </c>
      <c r="H127" s="1" t="s">
        <v>1460</v>
      </c>
      <c r="I127" s="3" t="s">
        <v>1503</v>
      </c>
      <c r="J127" s="1" t="s">
        <v>1482</v>
      </c>
      <c r="K127" s="3" t="n">
        <v>6492</v>
      </c>
      <c r="L127" s="15" t="s">
        <v>1504</v>
      </c>
      <c r="M127" s="1" t="s">
        <v>1484</v>
      </c>
      <c r="N127" s="9" t="n">
        <v>44579</v>
      </c>
      <c r="O127" s="10" t="s">
        <v>1505</v>
      </c>
      <c r="P127" s="1" t="n">
        <v>1080</v>
      </c>
      <c r="Q127" s="1" t="n">
        <v>480</v>
      </c>
    </row>
    <row r="128" customFormat="false" ht="18.7" hidden="false" customHeight="true" outlineLevel="0" collapsed="false">
      <c r="A128" s="1" t="n">
        <v>127</v>
      </c>
      <c r="B128" s="7" t="str">
        <f aca="false">HYPERLINK("https://mncourtfraud.com/file/TJ-37.zip","TJ-37.zip")</f>
        <v>TJ-37.zip</v>
      </c>
      <c r="C128" s="8" t="str">
        <f aca="false">HYPERLINK("https://mncourtfraud.com/file/27-CR-19-19606.pdf","27-CR-19-19606")</f>
        <v>27-CR-19-19606</v>
      </c>
      <c r="D128" s="3" t="s">
        <v>334</v>
      </c>
      <c r="E128" s="9" t="n">
        <v>44580</v>
      </c>
      <c r="F128" s="8" t="str">
        <f aca="false">HYPERLINK("https://mncourtfraud.com/file/MCRO_27-CR-19-19606_Order-Evaluation for Competency to Proceed (Rule 20.01)_2022-01-19_20240430092047.pdf","MCRO_27-CR-19-19606_Order-Evaluation for Competency to Proceed (Rule 20.01)_2022-01-19_20240430092047.pdf")</f>
        <v>MCRO_27-CR-19-19606_Order-Evaluation for Competency to Proceed (Rule 20.01)_2022-01-19_20240430092047.pdf</v>
      </c>
      <c r="G128" s="8" t="str">
        <f aca="false">HYPERLINK("https://mncourtfraud.com/file/986c9584be7fad27b4ce5a6f33c0359307aed926953edeba02a9b231a5d6baca.png","986c9584be7fad27b4ce5a6f33c0359307aed926953edeba02a9b231a5d6baca")</f>
        <v>986c9584be7fad27b4ce5a6f33c0359307aed926953edeba02a9b231a5d6baca</v>
      </c>
      <c r="H128" s="1" t="s">
        <v>1460</v>
      </c>
      <c r="I128" s="3" t="s">
        <v>1503</v>
      </c>
      <c r="J128" s="1" t="s">
        <v>1482</v>
      </c>
      <c r="K128" s="3" t="n">
        <v>6492</v>
      </c>
      <c r="L128" s="15" t="s">
        <v>1504</v>
      </c>
      <c r="M128" s="1" t="s">
        <v>1484</v>
      </c>
      <c r="N128" s="9" t="n">
        <v>44579</v>
      </c>
      <c r="O128" s="10" t="s">
        <v>1505</v>
      </c>
      <c r="P128" s="1" t="n">
        <v>1080</v>
      </c>
      <c r="Q128" s="1" t="n">
        <v>480</v>
      </c>
    </row>
    <row r="129" customFormat="false" ht="18.7" hidden="false" customHeight="true" outlineLevel="0" collapsed="false">
      <c r="A129" s="1" t="n">
        <v>128</v>
      </c>
      <c r="B129" s="7" t="str">
        <f aca="false">HYPERLINK("https://mncourtfraud.com/file/TJ-37.zip","TJ-37.zip")</f>
        <v>TJ-37.zip</v>
      </c>
      <c r="C129" s="8" t="str">
        <f aca="false">HYPERLINK("https://mncourtfraud.com/file/27-CR-20-20037.pdf","27-CR-20-20037")</f>
        <v>27-CR-20-20037</v>
      </c>
      <c r="D129" s="3" t="s">
        <v>334</v>
      </c>
      <c r="E129" s="9" t="n">
        <v>44580</v>
      </c>
      <c r="F129" s="8" t="str">
        <f aca="false">HYPERLINK("https://mncourtfraud.com/file/MCRO_27-CR-20-20037_Order-Evaluation for Competency to Proceed (Rule 20.01)_2022-01-19_20240430090145.pdf","MCRO_27-CR-20-20037_Order-Evaluation for Competency to Proceed (Rule 20.01)_2022-01-19_20240430090145.pdf")</f>
        <v>MCRO_27-CR-20-20037_Order-Evaluation for Competency to Proceed (Rule 20.01)_2022-01-19_20240430090145.pdf</v>
      </c>
      <c r="G129" s="8" t="str">
        <f aca="false">HYPERLINK("https://mncourtfraud.com/file/986c9584be7fad27b4ce5a6f33c0359307aed926953edeba02a9b231a5d6baca.png","986c9584be7fad27b4ce5a6f33c0359307aed926953edeba02a9b231a5d6baca")</f>
        <v>986c9584be7fad27b4ce5a6f33c0359307aed926953edeba02a9b231a5d6baca</v>
      </c>
      <c r="H129" s="1" t="s">
        <v>1460</v>
      </c>
      <c r="I129" s="3" t="s">
        <v>1503</v>
      </c>
      <c r="J129" s="1" t="s">
        <v>1482</v>
      </c>
      <c r="K129" s="3" t="n">
        <v>6492</v>
      </c>
      <c r="L129" s="15" t="s">
        <v>1504</v>
      </c>
      <c r="M129" s="1" t="s">
        <v>1484</v>
      </c>
      <c r="N129" s="9" t="n">
        <v>44579</v>
      </c>
      <c r="O129" s="10" t="s">
        <v>1505</v>
      </c>
      <c r="P129" s="1" t="n">
        <v>1080</v>
      </c>
      <c r="Q129" s="1" t="n">
        <v>480</v>
      </c>
    </row>
    <row r="130" customFormat="false" ht="18.7" hidden="false" customHeight="true" outlineLevel="0" collapsed="false">
      <c r="A130" s="1" t="n">
        <v>129</v>
      </c>
      <c r="B130" s="7" t="str">
        <f aca="false">HYPERLINK("https://mncourtfraud.com/file/TJ-37.zip","TJ-37.zip")</f>
        <v>TJ-37.zip</v>
      </c>
      <c r="C130" s="8" t="str">
        <f aca="false">HYPERLINK("https://mncourtfraud.com/file/27-CR-20-8926.pdf","27-CR-20-8926")</f>
        <v>27-CR-20-8926</v>
      </c>
      <c r="D130" s="3" t="s">
        <v>334</v>
      </c>
      <c r="E130" s="9" t="n">
        <v>44580</v>
      </c>
      <c r="F130" s="8" t="str">
        <f aca="false">HYPERLINK("https://mncourtfraud.com/file/MCRO_27-CR-20-8926_Order-Evaluation for Competency to Proceed (Rule 20.01)_2022-01-19_20240430085443.pdf","MCRO_27-CR-20-8926_Order-Evaluation for Competency to Proceed (Rule 20.01)_2022-01-19_20240430085443.pdf")</f>
        <v>MCRO_27-CR-20-8926_Order-Evaluation for Competency to Proceed (Rule 20.01)_2022-01-19_20240430085443.pdf</v>
      </c>
      <c r="G130" s="8" t="str">
        <f aca="false">HYPERLINK("https://mncourtfraud.com/file/986c9584be7fad27b4ce5a6f33c0359307aed926953edeba02a9b231a5d6baca.png","986c9584be7fad27b4ce5a6f33c0359307aed926953edeba02a9b231a5d6baca")</f>
        <v>986c9584be7fad27b4ce5a6f33c0359307aed926953edeba02a9b231a5d6baca</v>
      </c>
      <c r="H130" s="1" t="s">
        <v>1460</v>
      </c>
      <c r="I130" s="3" t="s">
        <v>1503</v>
      </c>
      <c r="J130" s="1" t="s">
        <v>1482</v>
      </c>
      <c r="K130" s="3" t="n">
        <v>6492</v>
      </c>
      <c r="L130" s="15" t="s">
        <v>1504</v>
      </c>
      <c r="M130" s="1" t="s">
        <v>1484</v>
      </c>
      <c r="N130" s="9" t="n">
        <v>44579</v>
      </c>
      <c r="O130" s="10" t="s">
        <v>1505</v>
      </c>
      <c r="P130" s="1" t="n">
        <v>1080</v>
      </c>
      <c r="Q130" s="1" t="n">
        <v>480</v>
      </c>
    </row>
    <row r="131" customFormat="false" ht="18.7" hidden="false" customHeight="true" outlineLevel="0" collapsed="false">
      <c r="A131" s="1" t="n">
        <v>130</v>
      </c>
      <c r="B131" s="7" t="str">
        <f aca="false">HYPERLINK("https://mncourtfraud.com/file/TJ-37.zip","TJ-37.zip")</f>
        <v>TJ-37.zip</v>
      </c>
      <c r="C131" s="8" t="str">
        <f aca="false">HYPERLINK("https://mncourtfraud.com/file/27-CR-21-23233.pdf","27-CR-21-23233")</f>
        <v>27-CR-21-23233</v>
      </c>
      <c r="D131" s="3" t="s">
        <v>334</v>
      </c>
      <c r="E131" s="9" t="n">
        <v>44580</v>
      </c>
      <c r="F131" s="8" t="str">
        <f aca="false">HYPERLINK("https://mncourtfraud.com/file/MCRO_27-CR-21-23233_Order-Evaluation for Competency to Proceed (Rule 20.01)_2022-01-19_20240430084228.pdf","MCRO_27-CR-21-23233_Order-Evaluation for Competency to Proceed (Rule 20.01)_2022-01-19_20240430084228.pdf")</f>
        <v>MCRO_27-CR-21-23233_Order-Evaluation for Competency to Proceed (Rule 20.01)_2022-01-19_20240430084228.pdf</v>
      </c>
      <c r="G131" s="8" t="str">
        <f aca="false">HYPERLINK("https://mncourtfraud.com/file/986c9584be7fad27b4ce5a6f33c0359307aed926953edeba02a9b231a5d6baca.png","986c9584be7fad27b4ce5a6f33c0359307aed926953edeba02a9b231a5d6baca")</f>
        <v>986c9584be7fad27b4ce5a6f33c0359307aed926953edeba02a9b231a5d6baca</v>
      </c>
      <c r="H131" s="1" t="s">
        <v>1460</v>
      </c>
      <c r="I131" s="3" t="s">
        <v>1503</v>
      </c>
      <c r="J131" s="1" t="s">
        <v>1482</v>
      </c>
      <c r="K131" s="3" t="n">
        <v>6492</v>
      </c>
      <c r="L131" s="15" t="s">
        <v>1504</v>
      </c>
      <c r="M131" s="1" t="s">
        <v>1484</v>
      </c>
      <c r="N131" s="9" t="n">
        <v>44579</v>
      </c>
      <c r="O131" s="10" t="s">
        <v>1505</v>
      </c>
      <c r="P131" s="1" t="n">
        <v>1080</v>
      </c>
      <c r="Q131" s="1" t="n">
        <v>480</v>
      </c>
    </row>
    <row r="132" customFormat="false" ht="18.7" hidden="false" customHeight="true" outlineLevel="0" collapsed="false">
      <c r="A132" s="1" t="n">
        <v>131</v>
      </c>
      <c r="E132" s="9"/>
      <c r="K132" s="3"/>
      <c r="L132" s="15"/>
      <c r="N132" s="9"/>
      <c r="O132" s="10"/>
      <c r="P132" s="1"/>
      <c r="Q132" s="1"/>
    </row>
    <row r="133" customFormat="false" ht="18.7" hidden="false" customHeight="true" outlineLevel="0" collapsed="false">
      <c r="A133" s="1" t="n">
        <v>132</v>
      </c>
      <c r="B133" s="7" t="str">
        <f aca="false">HYPERLINK("https://mncourtfraud.com/file/TJ-38.zip","TJ-38.zip")</f>
        <v>TJ-38.zip</v>
      </c>
      <c r="C133" s="8" t="str">
        <f aca="false">HYPERLINK("https://mncourtfraud.com/file/27-CR-19-12466.pdf","27-CR-19-12466")</f>
        <v>27-CR-19-12466</v>
      </c>
      <c r="D133" s="3" t="s">
        <v>334</v>
      </c>
      <c r="E133" s="9" t="n">
        <v>44608</v>
      </c>
      <c r="F133" s="8" t="str">
        <f aca="false">HYPERLINK("https://mncourtfraud.com/file/MCRO_27-CR-19-12466_Order for Conditional Release_2022-02-16_20240430091829.pdf","MCRO_27-CR-19-12466_Order for Conditional Release_2022-02-16_20240430091829.pdf")</f>
        <v>MCRO_27-CR-19-12466_Order for Conditional Release_2022-02-16_20240430091829.pdf</v>
      </c>
      <c r="G133" s="8" t="str">
        <f aca="false">HYPERLINK("https://mncourtfraud.com/file/a2431245c89ae4f05bcf97f9d8b68ae9d013c4f600759443b22a754d7845c3e5.png","a2431245c89ae4f05bcf97f9d8b68ae9d013c4f600759443b22a754d7845c3e5")</f>
        <v>a2431245c89ae4f05bcf97f9d8b68ae9d013c4f600759443b22a754d7845c3e5</v>
      </c>
      <c r="H133" s="1" t="s">
        <v>1460</v>
      </c>
      <c r="I133" s="3" t="s">
        <v>1506</v>
      </c>
      <c r="J133" s="1" t="s">
        <v>1482</v>
      </c>
      <c r="K133" s="3" t="n">
        <v>5577</v>
      </c>
      <c r="L133" s="15" t="s">
        <v>1504</v>
      </c>
      <c r="M133" s="1" t="s">
        <v>1484</v>
      </c>
      <c r="N133" s="9" t="n">
        <v>44608</v>
      </c>
      <c r="O133" s="10" t="s">
        <v>1507</v>
      </c>
      <c r="P133" s="1" t="n">
        <v>1000</v>
      </c>
      <c r="Q133" s="1" t="n">
        <v>370</v>
      </c>
    </row>
    <row r="134" customFormat="false" ht="18.7" hidden="false" customHeight="true" outlineLevel="0" collapsed="false">
      <c r="A134" s="1" t="n">
        <v>133</v>
      </c>
      <c r="B134" s="7" t="str">
        <f aca="false">HYPERLINK("https://mncourtfraud.com/file/TJ-38.zip","TJ-38.zip")</f>
        <v>TJ-38.zip</v>
      </c>
      <c r="C134" s="8" t="str">
        <f aca="false">HYPERLINK("https://mncourtfraud.com/file/27-CR-19-19606.pdf","27-CR-19-19606")</f>
        <v>27-CR-19-19606</v>
      </c>
      <c r="D134" s="3" t="s">
        <v>334</v>
      </c>
      <c r="E134" s="9" t="n">
        <v>44608</v>
      </c>
      <c r="F134" s="8" t="str">
        <f aca="false">HYPERLINK("https://mncourtfraud.com/file/MCRO_27-CR-19-19606_Order for Conditional Release_2022-02-16_20240430092046.pdf","MCRO_27-CR-19-19606_Order for Conditional Release_2022-02-16_20240430092046.pdf")</f>
        <v>MCRO_27-CR-19-19606_Order for Conditional Release_2022-02-16_20240430092046.pdf</v>
      </c>
      <c r="G134" s="8" t="str">
        <f aca="false">HYPERLINK("https://mncourtfraud.com/file/a2431245c89ae4f05bcf97f9d8b68ae9d013c4f600759443b22a754d7845c3e5.png","a2431245c89ae4f05bcf97f9d8b68ae9d013c4f600759443b22a754d7845c3e5")</f>
        <v>a2431245c89ae4f05bcf97f9d8b68ae9d013c4f600759443b22a754d7845c3e5</v>
      </c>
      <c r="H134" s="1" t="s">
        <v>1460</v>
      </c>
      <c r="I134" s="3" t="s">
        <v>1506</v>
      </c>
      <c r="J134" s="1" t="s">
        <v>1482</v>
      </c>
      <c r="K134" s="3" t="n">
        <v>5577</v>
      </c>
      <c r="L134" s="15" t="s">
        <v>1504</v>
      </c>
      <c r="M134" s="1" t="s">
        <v>1484</v>
      </c>
      <c r="N134" s="9" t="n">
        <v>44608</v>
      </c>
      <c r="O134" s="10" t="s">
        <v>1507</v>
      </c>
      <c r="P134" s="1" t="n">
        <v>1000</v>
      </c>
      <c r="Q134" s="1" t="n">
        <v>370</v>
      </c>
    </row>
    <row r="135" customFormat="false" ht="18.7" hidden="false" customHeight="true" outlineLevel="0" collapsed="false">
      <c r="A135" s="1" t="n">
        <v>134</v>
      </c>
      <c r="B135" s="7" t="str">
        <f aca="false">HYPERLINK("https://mncourtfraud.com/file/TJ-38.zip","TJ-38.zip")</f>
        <v>TJ-38.zip</v>
      </c>
      <c r="C135" s="8" t="str">
        <f aca="false">HYPERLINK("https://mncourtfraud.com/file/27-CR-20-20037.pdf","27-CR-20-20037")</f>
        <v>27-CR-20-20037</v>
      </c>
      <c r="D135" s="3" t="s">
        <v>334</v>
      </c>
      <c r="E135" s="9" t="n">
        <v>44608</v>
      </c>
      <c r="F135" s="8" t="str">
        <f aca="false">HYPERLINK("https://mncourtfraud.com/file/MCRO_27-CR-20-20037_Order for Conditional Release_2022-02-16_20240430090145.pdf","MCRO_27-CR-20-20037_Order for Conditional Release_2022-02-16_20240430090145.pdf")</f>
        <v>MCRO_27-CR-20-20037_Order for Conditional Release_2022-02-16_20240430090145.pdf</v>
      </c>
      <c r="G135" s="8" t="str">
        <f aca="false">HYPERLINK("https://mncourtfraud.com/file/a2431245c89ae4f05bcf97f9d8b68ae9d013c4f600759443b22a754d7845c3e5.png","a2431245c89ae4f05bcf97f9d8b68ae9d013c4f600759443b22a754d7845c3e5")</f>
        <v>a2431245c89ae4f05bcf97f9d8b68ae9d013c4f600759443b22a754d7845c3e5</v>
      </c>
      <c r="H135" s="1" t="s">
        <v>1460</v>
      </c>
      <c r="I135" s="3" t="s">
        <v>1506</v>
      </c>
      <c r="J135" s="1" t="s">
        <v>1482</v>
      </c>
      <c r="K135" s="3" t="n">
        <v>5577</v>
      </c>
      <c r="L135" s="15" t="s">
        <v>1504</v>
      </c>
      <c r="M135" s="1" t="s">
        <v>1484</v>
      </c>
      <c r="N135" s="9" t="n">
        <v>44608</v>
      </c>
      <c r="O135" s="10" t="s">
        <v>1507</v>
      </c>
      <c r="P135" s="1" t="n">
        <v>1000</v>
      </c>
      <c r="Q135" s="1" t="n">
        <v>370</v>
      </c>
    </row>
    <row r="136" customFormat="false" ht="18.7" hidden="false" customHeight="true" outlineLevel="0" collapsed="false">
      <c r="A136" s="1" t="n">
        <v>135</v>
      </c>
      <c r="B136" s="7" t="str">
        <f aca="false">HYPERLINK("https://mncourtfraud.com/file/TJ-38.zip","TJ-38.zip")</f>
        <v>TJ-38.zip</v>
      </c>
      <c r="C136" s="8" t="str">
        <f aca="false">HYPERLINK("https://mncourtfraud.com/file/27-CR-20-8926.pdf","27-CR-20-8926")</f>
        <v>27-CR-20-8926</v>
      </c>
      <c r="D136" s="3" t="s">
        <v>334</v>
      </c>
      <c r="E136" s="9" t="n">
        <v>44608</v>
      </c>
      <c r="F136" s="8" t="str">
        <f aca="false">HYPERLINK("https://mncourtfraud.com/file/MCRO_27-CR-20-8926_Order for Conditional Release_2022-02-16_20240430085442.pdf","MCRO_27-CR-20-8926_Order for Conditional Release_2022-02-16_20240430085442.pdf")</f>
        <v>MCRO_27-CR-20-8926_Order for Conditional Release_2022-02-16_20240430085442.pdf</v>
      </c>
      <c r="G136" s="8" t="str">
        <f aca="false">HYPERLINK("https://mncourtfraud.com/file/a2431245c89ae4f05bcf97f9d8b68ae9d013c4f600759443b22a754d7845c3e5.png","a2431245c89ae4f05bcf97f9d8b68ae9d013c4f600759443b22a754d7845c3e5")</f>
        <v>a2431245c89ae4f05bcf97f9d8b68ae9d013c4f600759443b22a754d7845c3e5</v>
      </c>
      <c r="H136" s="1" t="s">
        <v>1460</v>
      </c>
      <c r="I136" s="3" t="s">
        <v>1506</v>
      </c>
      <c r="J136" s="1" t="s">
        <v>1482</v>
      </c>
      <c r="K136" s="3" t="n">
        <v>5577</v>
      </c>
      <c r="L136" s="15" t="s">
        <v>1504</v>
      </c>
      <c r="M136" s="1" t="s">
        <v>1484</v>
      </c>
      <c r="N136" s="9" t="n">
        <v>44608</v>
      </c>
      <c r="O136" s="10" t="s">
        <v>1507</v>
      </c>
      <c r="P136" s="1" t="n">
        <v>1000</v>
      </c>
      <c r="Q136" s="1" t="n">
        <v>370</v>
      </c>
    </row>
    <row r="137" customFormat="false" ht="18.7" hidden="false" customHeight="true" outlineLevel="0" collapsed="false">
      <c r="A137" s="1" t="n">
        <v>136</v>
      </c>
      <c r="B137" s="7" t="str">
        <f aca="false">HYPERLINK("https://mncourtfraud.com/file/TJ-38.zip","TJ-38.zip")</f>
        <v>TJ-38.zip</v>
      </c>
      <c r="C137" s="8" t="str">
        <f aca="false">HYPERLINK("https://mncourtfraud.com/file/27-CR-21-19552.pdf","27-CR-21-19552")</f>
        <v>27-CR-21-19552</v>
      </c>
      <c r="D137" s="3" t="s">
        <v>334</v>
      </c>
      <c r="E137" s="9" t="n">
        <v>44608</v>
      </c>
      <c r="F137" s="8" t="str">
        <f aca="false">HYPERLINK("https://mncourtfraud.com/file/MCRO_27-CR-21-19552_Order for Conditional Release_2022-02-16_20240430082848.pdf","MCRO_27-CR-21-19552_Order for Conditional Release_2022-02-16_20240430082848.pdf")</f>
        <v>MCRO_27-CR-21-19552_Order for Conditional Release_2022-02-16_20240430082848.pdf</v>
      </c>
      <c r="G137" s="8" t="str">
        <f aca="false">HYPERLINK("https://mncourtfraud.com/file/a2431245c89ae4f05bcf97f9d8b68ae9d013c4f600759443b22a754d7845c3e5.png","a2431245c89ae4f05bcf97f9d8b68ae9d013c4f600759443b22a754d7845c3e5")</f>
        <v>a2431245c89ae4f05bcf97f9d8b68ae9d013c4f600759443b22a754d7845c3e5</v>
      </c>
      <c r="H137" s="1" t="s">
        <v>1460</v>
      </c>
      <c r="I137" s="3" t="s">
        <v>1506</v>
      </c>
      <c r="J137" s="1" t="s">
        <v>1482</v>
      </c>
      <c r="K137" s="3" t="n">
        <v>5577</v>
      </c>
      <c r="L137" s="15" t="s">
        <v>1504</v>
      </c>
      <c r="M137" s="1" t="s">
        <v>1484</v>
      </c>
      <c r="N137" s="9" t="n">
        <v>44608</v>
      </c>
      <c r="O137" s="10" t="s">
        <v>1507</v>
      </c>
      <c r="P137" s="1" t="n">
        <v>1000</v>
      </c>
      <c r="Q137" s="1" t="n">
        <v>370</v>
      </c>
    </row>
    <row r="138" customFormat="false" ht="18.7" hidden="false" customHeight="true" outlineLevel="0" collapsed="false">
      <c r="A138" s="1" t="n">
        <v>137</v>
      </c>
      <c r="B138" s="7" t="str">
        <f aca="false">HYPERLINK("https://mncourtfraud.com/file/TJ-38.zip","TJ-38.zip")</f>
        <v>TJ-38.zip</v>
      </c>
      <c r="C138" s="8" t="str">
        <f aca="false">HYPERLINK("https://mncourtfraud.com/file/27-CR-21-23233.pdf","27-CR-21-23233")</f>
        <v>27-CR-21-23233</v>
      </c>
      <c r="D138" s="3" t="s">
        <v>334</v>
      </c>
      <c r="E138" s="9" t="n">
        <v>44608</v>
      </c>
      <c r="F138" s="8" t="str">
        <f aca="false">HYPERLINK("https://mncourtfraud.com/file/MCRO_27-CR-21-23233_Order for Conditional Release_2022-02-16_20240430084227.pdf","MCRO_27-CR-21-23233_Order for Conditional Release_2022-02-16_20240430084227.pdf")</f>
        <v>MCRO_27-CR-21-23233_Order for Conditional Release_2022-02-16_20240430084227.pdf</v>
      </c>
      <c r="G138" s="8" t="str">
        <f aca="false">HYPERLINK("https://mncourtfraud.com/file/a2431245c89ae4f05bcf97f9d8b68ae9d013c4f600759443b22a754d7845c3e5.png","a2431245c89ae4f05bcf97f9d8b68ae9d013c4f600759443b22a754d7845c3e5")</f>
        <v>a2431245c89ae4f05bcf97f9d8b68ae9d013c4f600759443b22a754d7845c3e5</v>
      </c>
      <c r="H138" s="1" t="s">
        <v>1460</v>
      </c>
      <c r="I138" s="3" t="s">
        <v>1506</v>
      </c>
      <c r="J138" s="1" t="s">
        <v>1482</v>
      </c>
      <c r="K138" s="3" t="n">
        <v>5577</v>
      </c>
      <c r="L138" s="15" t="s">
        <v>1504</v>
      </c>
      <c r="M138" s="1" t="s">
        <v>1484</v>
      </c>
      <c r="N138" s="9" t="n">
        <v>44608</v>
      </c>
      <c r="O138" s="10" t="s">
        <v>1507</v>
      </c>
      <c r="P138" s="1" t="n">
        <v>1000</v>
      </c>
      <c r="Q138" s="1" t="n">
        <v>370</v>
      </c>
    </row>
    <row r="139" customFormat="false" ht="18.7" hidden="false" customHeight="true" outlineLevel="0" collapsed="false">
      <c r="A139" s="1" t="n">
        <v>138</v>
      </c>
      <c r="E139" s="9"/>
      <c r="K139" s="3"/>
      <c r="L139" s="15"/>
      <c r="N139" s="9"/>
      <c r="O139" s="10"/>
      <c r="P139" s="1"/>
      <c r="Q139" s="1"/>
    </row>
    <row r="140" customFormat="false" ht="18.7" hidden="false" customHeight="true" outlineLevel="0" collapsed="false">
      <c r="A140" s="1" t="n">
        <v>139</v>
      </c>
      <c r="B140" s="7" t="str">
        <f aca="false">HYPERLINK("https://mncourtfraud.com/file/GES-24.zip","GES-24.zip")</f>
        <v>GES-24.zip</v>
      </c>
      <c r="C140" s="8" t="str">
        <f aca="false">HYPERLINK("https://mncourtfraud.com/file/27-CR-21-1980.pdf","27-CR-21-1980")</f>
        <v>27-CR-21-1980</v>
      </c>
      <c r="D140" s="3" t="s">
        <v>85</v>
      </c>
      <c r="E140" s="9" t="n">
        <v>45317</v>
      </c>
      <c r="F140" s="8" t="str">
        <f aca="false">HYPERLINK("https://mncourtfraud.com/file/MCRO_27-CR-21-1980_Order-Evaluation for Competency to Proceed (Rule 20.01)_2024-01-26_20240430075951.pdf","MCRO_27-CR-21-1980_Order-Evaluation for Competency to Proceed (Rule 20.01)_2024-01-26_20240430075951.pdf")</f>
        <v>MCRO_27-CR-21-1980_Order-Evaluation for Competency to Proceed (Rule 20.01)_2024-01-26_20240430075951.pdf</v>
      </c>
      <c r="G140" s="8" t="str">
        <f aca="false">HYPERLINK("https://mncourtfraud.com/file/38a005d7926279a664a315e92b55a56bfc80b20e20ee7b81f9078ffcbace643b.png","38a005d7926279a664a315e92b55a56bfc80b20e20ee7b81f9078ffcbace643b")</f>
        <v>38a005d7926279a664a315e92b55a56bfc80b20e20ee7b81f9078ffcbace643b</v>
      </c>
      <c r="H140" s="1" t="s">
        <v>1460</v>
      </c>
      <c r="I140" s="3" t="s">
        <v>1508</v>
      </c>
      <c r="J140" s="1" t="s">
        <v>1482</v>
      </c>
      <c r="K140" s="3" t="n">
        <v>4117</v>
      </c>
      <c r="L140" s="15" t="s">
        <v>1487</v>
      </c>
      <c r="M140" s="1" t="s">
        <v>1484</v>
      </c>
      <c r="N140" s="9" t="n">
        <v>45317</v>
      </c>
      <c r="O140" s="10" t="s">
        <v>1509</v>
      </c>
      <c r="P140" s="1" t="n">
        <v>2780</v>
      </c>
      <c r="Q140" s="1" t="n">
        <v>160</v>
      </c>
    </row>
    <row r="141" customFormat="false" ht="18.7" hidden="false" customHeight="true" outlineLevel="0" collapsed="false">
      <c r="A141" s="1" t="n">
        <v>140</v>
      </c>
      <c r="B141" s="7" t="str">
        <f aca="false">HYPERLINK("https://mncourtfraud.com/file/GES-24.zip","GES-24.zip")</f>
        <v>GES-24.zip</v>
      </c>
      <c r="C141" s="8" t="str">
        <f aca="false">HYPERLINK("https://mncourtfraud.com/file/27-CR-21-20072.pdf","27-CR-21-20072")</f>
        <v>27-CR-21-20072</v>
      </c>
      <c r="D141" s="3" t="s">
        <v>85</v>
      </c>
      <c r="E141" s="9" t="n">
        <v>45317</v>
      </c>
      <c r="F141" s="8" t="str">
        <f aca="false">HYPERLINK("https://mncourtfraud.com/file/MCRO_27-CR-21-20072_Order-Evaluation for Competency to Proceed (Rule 20.01)_2024-01-26_20240430083043.pdf","MCRO_27-CR-21-20072_Order-Evaluation for Competency to Proceed (Rule 20.01)_2024-01-26_20240430083043.pdf")</f>
        <v>MCRO_27-CR-21-20072_Order-Evaluation for Competency to Proceed (Rule 20.01)_2024-01-26_20240430083043.pdf</v>
      </c>
      <c r="G141" s="8" t="str">
        <f aca="false">HYPERLINK("https://mncourtfraud.com/file/38a005d7926279a664a315e92b55a56bfc80b20e20ee7b81f9078ffcbace643b.png","38a005d7926279a664a315e92b55a56bfc80b20e20ee7b81f9078ffcbace643b")</f>
        <v>38a005d7926279a664a315e92b55a56bfc80b20e20ee7b81f9078ffcbace643b</v>
      </c>
      <c r="H141" s="1" t="s">
        <v>1460</v>
      </c>
      <c r="I141" s="3" t="s">
        <v>1508</v>
      </c>
      <c r="J141" s="1" t="s">
        <v>1482</v>
      </c>
      <c r="K141" s="3" t="n">
        <v>4117</v>
      </c>
      <c r="L141" s="15" t="s">
        <v>1487</v>
      </c>
      <c r="M141" s="1" t="s">
        <v>1484</v>
      </c>
      <c r="N141" s="9" t="n">
        <v>45317</v>
      </c>
      <c r="O141" s="10" t="s">
        <v>1509</v>
      </c>
      <c r="P141" s="1" t="n">
        <v>2780</v>
      </c>
      <c r="Q141" s="1" t="n">
        <v>160</v>
      </c>
    </row>
    <row r="142" customFormat="false" ht="18.7" hidden="false" customHeight="true" outlineLevel="0" collapsed="false">
      <c r="A142" s="1" t="n">
        <v>141</v>
      </c>
      <c r="B142" s="7" t="str">
        <f aca="false">HYPERLINK("https://mncourtfraud.com/file/GES-24.zip","GES-24.zip")</f>
        <v>GES-24.zip</v>
      </c>
      <c r="C142" s="8" t="str">
        <f aca="false">HYPERLINK("https://mncourtfraud.com/file/27-CR-21-20988.pdf","27-CR-21-20988")</f>
        <v>27-CR-21-20988</v>
      </c>
      <c r="D142" s="3" t="s">
        <v>88</v>
      </c>
      <c r="E142" s="9" t="n">
        <v>45317</v>
      </c>
      <c r="F142" s="8" t="str">
        <f aca="false">HYPERLINK("https://mncourtfraud.com/file/MCRO_27-CR-21-20988_Order-Evaluation for Competency to Proceed (Rule 20.01)_2024-01-26_20240430083337.pdf","MCRO_27-CR-21-20988_Order-Evaluation for Competency to Proceed (Rule 20.01)_2024-01-26_20240430083337.pdf")</f>
        <v>MCRO_27-CR-21-20988_Order-Evaluation for Competency to Proceed (Rule 20.01)_2024-01-26_20240430083337.pdf</v>
      </c>
      <c r="G142" s="8" t="str">
        <f aca="false">HYPERLINK("https://mncourtfraud.com/file/38a005d7926279a664a315e92b55a56bfc80b20e20ee7b81f9078ffcbace643b.png","38a005d7926279a664a315e92b55a56bfc80b20e20ee7b81f9078ffcbace643b")</f>
        <v>38a005d7926279a664a315e92b55a56bfc80b20e20ee7b81f9078ffcbace643b</v>
      </c>
      <c r="H142" s="1" t="s">
        <v>1460</v>
      </c>
      <c r="I142" s="3" t="s">
        <v>1508</v>
      </c>
      <c r="J142" s="1" t="s">
        <v>1482</v>
      </c>
      <c r="K142" s="3" t="n">
        <v>4117</v>
      </c>
      <c r="L142" s="15" t="s">
        <v>1487</v>
      </c>
      <c r="M142" s="1" t="s">
        <v>1484</v>
      </c>
      <c r="N142" s="9" t="n">
        <v>45317</v>
      </c>
      <c r="O142" s="10" t="s">
        <v>1509</v>
      </c>
      <c r="P142" s="1" t="n">
        <v>2780</v>
      </c>
      <c r="Q142" s="1" t="n">
        <v>160</v>
      </c>
    </row>
    <row r="143" customFormat="false" ht="18.7" hidden="false" customHeight="true" outlineLevel="0" collapsed="false">
      <c r="A143" s="1" t="n">
        <v>142</v>
      </c>
      <c r="B143" s="7" t="str">
        <f aca="false">HYPERLINK("https://mncourtfraud.com/file/GES-24.zip","GES-24.zip")</f>
        <v>GES-24.zip</v>
      </c>
      <c r="C143" s="8" t="str">
        <f aca="false">HYPERLINK("https://mncourtfraud.com/file/27-CR-21-21355.pdf","27-CR-21-21355")</f>
        <v>27-CR-21-21355</v>
      </c>
      <c r="D143" s="3" t="s">
        <v>88</v>
      </c>
      <c r="E143" s="9" t="n">
        <v>45317</v>
      </c>
      <c r="F143" s="8" t="str">
        <f aca="false">HYPERLINK("https://mncourtfraud.com/file/MCRO_27-CR-21-21355_Order-Evaluation for Competency to Proceed (Rule 20.01)_2024-01-26_20240430083444.pdf","MCRO_27-CR-21-21355_Order-Evaluation for Competency to Proceed (Rule 20.01)_2024-01-26_20240430083444.pdf")</f>
        <v>MCRO_27-CR-21-21355_Order-Evaluation for Competency to Proceed (Rule 20.01)_2024-01-26_20240430083444.pdf</v>
      </c>
      <c r="G143" s="8" t="str">
        <f aca="false">HYPERLINK("https://mncourtfraud.com/file/38a005d7926279a664a315e92b55a56bfc80b20e20ee7b81f9078ffcbace643b.png","38a005d7926279a664a315e92b55a56bfc80b20e20ee7b81f9078ffcbace643b")</f>
        <v>38a005d7926279a664a315e92b55a56bfc80b20e20ee7b81f9078ffcbace643b</v>
      </c>
      <c r="H143" s="1" t="s">
        <v>1460</v>
      </c>
      <c r="I143" s="3" t="s">
        <v>1508</v>
      </c>
      <c r="J143" s="1" t="s">
        <v>1482</v>
      </c>
      <c r="K143" s="3" t="n">
        <v>4117</v>
      </c>
      <c r="L143" s="15" t="s">
        <v>1487</v>
      </c>
      <c r="M143" s="1" t="s">
        <v>1484</v>
      </c>
      <c r="N143" s="9" t="n">
        <v>45317</v>
      </c>
      <c r="O143" s="10" t="s">
        <v>1509</v>
      </c>
      <c r="P143" s="1" t="n">
        <v>2780</v>
      </c>
      <c r="Q143" s="1" t="n">
        <v>160</v>
      </c>
    </row>
    <row r="144" customFormat="false" ht="18.7" hidden="false" customHeight="true" outlineLevel="0" collapsed="false">
      <c r="A144" s="1" t="n">
        <v>143</v>
      </c>
      <c r="B144" s="7" t="str">
        <f aca="false">HYPERLINK("https://mncourtfraud.com/file/GES-24.zip","GES-24.zip")</f>
        <v>GES-24.zip</v>
      </c>
      <c r="C144" s="8" t="str">
        <f aca="false">HYPERLINK("https://mncourtfraud.com/file/27-CR-21-23188.pdf","27-CR-21-23188")</f>
        <v>27-CR-21-23188</v>
      </c>
      <c r="D144" s="3" t="s">
        <v>88</v>
      </c>
      <c r="E144" s="9" t="n">
        <v>45317</v>
      </c>
      <c r="F144" s="8" t="str">
        <f aca="false">HYPERLINK("https://mncourtfraud.com/file/MCRO_27-CR-21-23188_Order-Evaluation for Competency to Proceed (Rule 20.01)_2024-01-26_20240430083735.pdf","MCRO_27-CR-21-23188_Order-Evaluation for Competency to Proceed (Rule 20.01)_2024-01-26_20240430083735.pdf")</f>
        <v>MCRO_27-CR-21-23188_Order-Evaluation for Competency to Proceed (Rule 20.01)_2024-01-26_20240430083735.pdf</v>
      </c>
      <c r="G144" s="8" t="str">
        <f aca="false">HYPERLINK("https://mncourtfraud.com/file/38a005d7926279a664a315e92b55a56bfc80b20e20ee7b81f9078ffcbace643b.png","38a005d7926279a664a315e92b55a56bfc80b20e20ee7b81f9078ffcbace643b")</f>
        <v>38a005d7926279a664a315e92b55a56bfc80b20e20ee7b81f9078ffcbace643b</v>
      </c>
      <c r="H144" s="1" t="s">
        <v>1460</v>
      </c>
      <c r="I144" s="3" t="s">
        <v>1508</v>
      </c>
      <c r="J144" s="1" t="s">
        <v>1482</v>
      </c>
      <c r="K144" s="3" t="n">
        <v>4117</v>
      </c>
      <c r="L144" s="15" t="s">
        <v>1487</v>
      </c>
      <c r="M144" s="1" t="s">
        <v>1484</v>
      </c>
      <c r="N144" s="9" t="n">
        <v>45317</v>
      </c>
      <c r="O144" s="10" t="s">
        <v>1509</v>
      </c>
      <c r="P144" s="1" t="n">
        <v>2780</v>
      </c>
      <c r="Q144" s="1" t="n">
        <v>160</v>
      </c>
    </row>
    <row r="145" customFormat="false" ht="18.7" hidden="false" customHeight="true" outlineLevel="0" collapsed="false">
      <c r="A145" s="1" t="n">
        <v>144</v>
      </c>
      <c r="B145" s="7" t="str">
        <f aca="false">HYPERLINK("https://mncourtfraud.com/file/GES-24.zip","GES-24.zip")</f>
        <v>GES-24.zip</v>
      </c>
      <c r="C145" s="8" t="str">
        <f aca="false">HYPERLINK("https://mncourtfraud.com/file/27-CR-21-23215.pdf","27-CR-21-23215")</f>
        <v>27-CR-21-23215</v>
      </c>
      <c r="D145" s="3" t="s">
        <v>88</v>
      </c>
      <c r="E145" s="9" t="n">
        <v>45317</v>
      </c>
      <c r="F145" s="8" t="str">
        <f aca="false">HYPERLINK("https://mncourtfraud.com/file/MCRO_27-CR-21-23215_Order-Evaluation for Competency to Proceed (Rule 20.01)_2024-01-26_20240430084119.pdf","MCRO_27-CR-21-23215_Order-Evaluation for Competency to Proceed (Rule 20.01)_2024-01-26_20240430084119.pdf")</f>
        <v>MCRO_27-CR-21-23215_Order-Evaluation for Competency to Proceed (Rule 20.01)_2024-01-26_20240430084119.pdf</v>
      </c>
      <c r="G145" s="8" t="str">
        <f aca="false">HYPERLINK("https://mncourtfraud.com/file/38a005d7926279a664a315e92b55a56bfc80b20e20ee7b81f9078ffcbace643b.png","38a005d7926279a664a315e92b55a56bfc80b20e20ee7b81f9078ffcbace643b")</f>
        <v>38a005d7926279a664a315e92b55a56bfc80b20e20ee7b81f9078ffcbace643b</v>
      </c>
      <c r="H145" s="1" t="s">
        <v>1460</v>
      </c>
      <c r="I145" s="3" t="s">
        <v>1508</v>
      </c>
      <c r="J145" s="1" t="s">
        <v>1482</v>
      </c>
      <c r="K145" s="3" t="n">
        <v>4117</v>
      </c>
      <c r="L145" s="15" t="s">
        <v>1487</v>
      </c>
      <c r="M145" s="1" t="s">
        <v>1484</v>
      </c>
      <c r="N145" s="9" t="n">
        <v>45317</v>
      </c>
      <c r="O145" s="10" t="s">
        <v>1509</v>
      </c>
      <c r="P145" s="1" t="n">
        <v>2780</v>
      </c>
      <c r="Q145" s="1" t="n">
        <v>160</v>
      </c>
    </row>
    <row r="146" customFormat="false" ht="18.7" hidden="false" customHeight="true" outlineLevel="0" collapsed="false">
      <c r="A146" s="1" t="n">
        <v>145</v>
      </c>
      <c r="B146" s="7" t="str">
        <f aca="false">HYPERLINK("https://mncourtfraud.com/file/GES-24.zip","GES-24.zip")</f>
        <v>GES-24.zip</v>
      </c>
      <c r="C146" s="8" t="str">
        <f aca="false">HYPERLINK("https://mncourtfraud.com/file/27-CR-22-22963.pdf","27-CR-22-22963")</f>
        <v>27-CR-22-22963</v>
      </c>
      <c r="D146" s="3" t="s">
        <v>88</v>
      </c>
      <c r="E146" s="9" t="n">
        <v>45317</v>
      </c>
      <c r="F146" s="8" t="str">
        <f aca="false">HYPERLINK("https://mncourtfraud.com/file/MCRO_27-CR-22-22963_Order-Evaluation for Competency to Proceed (Rule 20.01)_2024-01-26_20240429163935.pdf","MCRO_27-CR-22-22963_Order-Evaluation for Competency to Proceed (Rule 20.01)_2024-01-26_20240429163935.pdf")</f>
        <v>MCRO_27-CR-22-22963_Order-Evaluation for Competency to Proceed (Rule 20.01)_2024-01-26_20240429163935.pdf</v>
      </c>
      <c r="G146" s="8" t="str">
        <f aca="false">HYPERLINK("https://mncourtfraud.com/file/38a005d7926279a664a315e92b55a56bfc80b20e20ee7b81f9078ffcbace643b.png","38a005d7926279a664a315e92b55a56bfc80b20e20ee7b81f9078ffcbace643b")</f>
        <v>38a005d7926279a664a315e92b55a56bfc80b20e20ee7b81f9078ffcbace643b</v>
      </c>
      <c r="H146" s="1" t="s">
        <v>1460</v>
      </c>
      <c r="I146" s="3" t="s">
        <v>1508</v>
      </c>
      <c r="J146" s="1" t="s">
        <v>1482</v>
      </c>
      <c r="K146" s="3" t="n">
        <v>4117</v>
      </c>
      <c r="L146" s="15" t="s">
        <v>1487</v>
      </c>
      <c r="M146" s="1" t="s">
        <v>1484</v>
      </c>
      <c r="N146" s="9" t="n">
        <v>45317</v>
      </c>
      <c r="O146" s="10" t="s">
        <v>1509</v>
      </c>
      <c r="P146" s="1" t="n">
        <v>2780</v>
      </c>
      <c r="Q146" s="1" t="n">
        <v>160</v>
      </c>
    </row>
    <row r="147" customFormat="false" ht="18.7" hidden="false" customHeight="true" outlineLevel="0" collapsed="false">
      <c r="A147" s="1" t="n">
        <v>146</v>
      </c>
      <c r="B147" s="7" t="str">
        <f aca="false">HYPERLINK("https://mncourtfraud.com/file/GES-24.zip","GES-24.zip")</f>
        <v>GES-24.zip</v>
      </c>
      <c r="C147" s="8" t="str">
        <f aca="false">HYPERLINK("https://mncourtfraud.com/file/27-CR-22-4087.pdf","27-CR-22-4087")</f>
        <v>27-CR-22-4087</v>
      </c>
      <c r="D147" s="3" t="s">
        <v>88</v>
      </c>
      <c r="E147" s="9" t="n">
        <v>45317</v>
      </c>
      <c r="F147" s="8" t="str">
        <f aca="false">HYPERLINK("https://mncourtfraud.com/file/MCRO_27-CR-22-4087_Order-Evaluation for Competency to Proceed (Rule 20.01)_2024-01-26_20240429035256.pdf","MCRO_27-CR-22-4087_Order-Evaluation for Competency to Proceed (Rule 20.01)_2024-01-26_20240429035256.pdf")</f>
        <v>MCRO_27-CR-22-4087_Order-Evaluation for Competency to Proceed (Rule 20.01)_2024-01-26_20240429035256.pdf</v>
      </c>
      <c r="G147" s="8" t="str">
        <f aca="false">HYPERLINK("https://mncourtfraud.com/file/38a005d7926279a664a315e92b55a56bfc80b20e20ee7b81f9078ffcbace643b.png","38a005d7926279a664a315e92b55a56bfc80b20e20ee7b81f9078ffcbace643b")</f>
        <v>38a005d7926279a664a315e92b55a56bfc80b20e20ee7b81f9078ffcbace643b</v>
      </c>
      <c r="H147" s="1" t="s">
        <v>1460</v>
      </c>
      <c r="I147" s="3" t="s">
        <v>1508</v>
      </c>
      <c r="J147" s="1" t="s">
        <v>1482</v>
      </c>
      <c r="K147" s="3" t="n">
        <v>4117</v>
      </c>
      <c r="L147" s="15" t="s">
        <v>1487</v>
      </c>
      <c r="M147" s="1" t="s">
        <v>1484</v>
      </c>
      <c r="N147" s="9" t="n">
        <v>45317</v>
      </c>
      <c r="O147" s="10" t="s">
        <v>1509</v>
      </c>
      <c r="P147" s="1" t="n">
        <v>2780</v>
      </c>
      <c r="Q147" s="1" t="n">
        <v>160</v>
      </c>
    </row>
    <row r="148" customFormat="false" ht="18.7" hidden="false" customHeight="true" outlineLevel="0" collapsed="false">
      <c r="A148" s="1" t="n">
        <v>147</v>
      </c>
      <c r="B148" s="7" t="str">
        <f aca="false">HYPERLINK("https://mncourtfraud.com/file/GES-24.zip","GES-24.zip")</f>
        <v>GES-24.zip</v>
      </c>
      <c r="C148" s="8" t="str">
        <f aca="false">HYPERLINK("https://mncourtfraud.com/file/27-CR-23-16927.pdf","27-CR-23-16927")</f>
        <v>27-CR-23-16927</v>
      </c>
      <c r="D148" s="3" t="s">
        <v>88</v>
      </c>
      <c r="E148" s="9" t="n">
        <v>45317</v>
      </c>
      <c r="F148" s="8" t="str">
        <f aca="false">HYPERLINK("https://mncourtfraud.com/file/MCRO_27-CR-23-16927_Order-Evaluation for Competency to Proceed (Rule 20.01)_2024-01-26_20240430074530.pdf","MCRO_27-CR-23-16927_Order-Evaluation for Competency to Proceed (Rule 20.01)_2024-01-26_20240430074530.pdf")</f>
        <v>MCRO_27-CR-23-16927_Order-Evaluation for Competency to Proceed (Rule 20.01)_2024-01-26_20240430074530.pdf</v>
      </c>
      <c r="G148" s="8" t="str">
        <f aca="false">HYPERLINK("https://mncourtfraud.com/file/38a005d7926279a664a315e92b55a56bfc80b20e20ee7b81f9078ffcbace643b.png","38a005d7926279a664a315e92b55a56bfc80b20e20ee7b81f9078ffcbace643b")</f>
        <v>38a005d7926279a664a315e92b55a56bfc80b20e20ee7b81f9078ffcbace643b</v>
      </c>
      <c r="H148" s="1" t="s">
        <v>1460</v>
      </c>
      <c r="I148" s="3" t="s">
        <v>1508</v>
      </c>
      <c r="J148" s="1" t="s">
        <v>1482</v>
      </c>
      <c r="K148" s="3" t="n">
        <v>4117</v>
      </c>
      <c r="L148" s="15" t="s">
        <v>1487</v>
      </c>
      <c r="M148" s="1" t="s">
        <v>1484</v>
      </c>
      <c r="N148" s="9" t="n">
        <v>45317</v>
      </c>
      <c r="O148" s="10" t="s">
        <v>1509</v>
      </c>
      <c r="P148" s="1" t="n">
        <v>2780</v>
      </c>
      <c r="Q148" s="1" t="n">
        <v>160</v>
      </c>
    </row>
    <row r="149" customFormat="false" ht="18.7" hidden="false" customHeight="true" outlineLevel="0" collapsed="false">
      <c r="A149" s="1" t="n">
        <v>148</v>
      </c>
      <c r="E149" s="9"/>
      <c r="K149" s="3"/>
      <c r="L149" s="15"/>
      <c r="N149" s="9"/>
      <c r="O149" s="10"/>
      <c r="P149" s="1"/>
      <c r="Q149" s="1"/>
    </row>
    <row r="150" customFormat="false" ht="18.7" hidden="false" customHeight="true" outlineLevel="0" collapsed="false">
      <c r="A150" s="1" t="n">
        <v>149</v>
      </c>
      <c r="B150" s="7" t="str">
        <f aca="false">HYPERLINK("https://mncourtfraud.com/file/GES-25.zip","GES-25.zip")</f>
        <v>GES-25.zip</v>
      </c>
      <c r="C150" s="8" t="str">
        <f aca="false">HYPERLINK("https://mncourtfraud.com/file/27-CR-21-1980.pdf","27-CR-21-1980")</f>
        <v>27-CR-21-1980</v>
      </c>
      <c r="D150" s="3" t="s">
        <v>85</v>
      </c>
      <c r="E150" s="9" t="n">
        <v>45187</v>
      </c>
      <c r="F150" s="8" t="str">
        <f aca="false">HYPERLINK("https://mncourtfraud.com/file/MCRO_27-CR-21-1980_Order-Evaluation for Competency to Proceed (Rule 20.01)_2023-09-18_20240430075956.pdf","MCRO_27-CR-21-1980_Order-Evaluation for Competency to Proceed (Rule 20.01)_2023-09-18_20240430075956.pdf")</f>
        <v>MCRO_27-CR-21-1980_Order-Evaluation for Competency to Proceed (Rule 20.01)_2023-09-18_20240430075956.pdf</v>
      </c>
      <c r="G150" s="8" t="str">
        <f aca="false">HYPERLINK("https://mncourtfraud.com/file/b5060400b1f379e6c13e8d7836261262547ef130014a07fe917f84ef322e5031.png","b5060400b1f379e6c13e8d7836261262547ef130014a07fe917f84ef322e5031")</f>
        <v>b5060400b1f379e6c13e8d7836261262547ef130014a07fe917f84ef322e5031</v>
      </c>
      <c r="H150" s="1" t="s">
        <v>1460</v>
      </c>
      <c r="I150" s="3" t="s">
        <v>1510</v>
      </c>
      <c r="J150" s="1" t="s">
        <v>1482</v>
      </c>
      <c r="K150" s="3" t="n">
        <v>4298</v>
      </c>
      <c r="L150" s="15" t="s">
        <v>1487</v>
      </c>
      <c r="M150" s="1" t="s">
        <v>1484</v>
      </c>
      <c r="N150" s="9" t="n">
        <v>45187</v>
      </c>
      <c r="O150" s="10" t="s">
        <v>1511</v>
      </c>
      <c r="P150" s="1" t="n">
        <v>2670</v>
      </c>
      <c r="Q150" s="1" t="n">
        <v>160</v>
      </c>
    </row>
    <row r="151" customFormat="false" ht="18.7" hidden="false" customHeight="true" outlineLevel="0" collapsed="false">
      <c r="A151" s="1" t="n">
        <v>150</v>
      </c>
      <c r="B151" s="7" t="str">
        <f aca="false">HYPERLINK("https://mncourtfraud.com/file/GES-25.zip","GES-25.zip")</f>
        <v>GES-25.zip</v>
      </c>
      <c r="C151" s="8" t="str">
        <f aca="false">HYPERLINK("https://mncourtfraud.com/file/27-CR-21-20072.pdf","27-CR-21-20072")</f>
        <v>27-CR-21-20072</v>
      </c>
      <c r="D151" s="3" t="s">
        <v>85</v>
      </c>
      <c r="E151" s="9" t="n">
        <v>45187</v>
      </c>
      <c r="F151" s="8" t="str">
        <f aca="false">HYPERLINK("https://mncourtfraud.com/file/MCRO_27-CR-21-20072_Order-Evaluation for Competency to Proceed (Rule 20.01)_2023-09-18_20240430083048.pdf","MCRO_27-CR-21-20072_Order-Evaluation for Competency to Proceed (Rule 20.01)_2023-09-18_20240430083048.pdf")</f>
        <v>MCRO_27-CR-21-20072_Order-Evaluation for Competency to Proceed (Rule 20.01)_2023-09-18_20240430083048.pdf</v>
      </c>
      <c r="G151" s="8" t="str">
        <f aca="false">HYPERLINK("https://mncourtfraud.com/file/b5060400b1f379e6c13e8d7836261262547ef130014a07fe917f84ef322e5031.png","b5060400b1f379e6c13e8d7836261262547ef130014a07fe917f84ef322e5031")</f>
        <v>b5060400b1f379e6c13e8d7836261262547ef130014a07fe917f84ef322e5031</v>
      </c>
      <c r="H151" s="1" t="s">
        <v>1460</v>
      </c>
      <c r="I151" s="3" t="s">
        <v>1510</v>
      </c>
      <c r="J151" s="1" t="s">
        <v>1482</v>
      </c>
      <c r="K151" s="3" t="n">
        <v>4298</v>
      </c>
      <c r="L151" s="15" t="s">
        <v>1487</v>
      </c>
      <c r="M151" s="1" t="s">
        <v>1484</v>
      </c>
      <c r="N151" s="9" t="n">
        <v>45187</v>
      </c>
      <c r="O151" s="10" t="s">
        <v>1511</v>
      </c>
      <c r="P151" s="1" t="n">
        <v>2670</v>
      </c>
      <c r="Q151" s="1" t="n">
        <v>160</v>
      </c>
    </row>
    <row r="152" customFormat="false" ht="18.7" hidden="false" customHeight="true" outlineLevel="0" collapsed="false">
      <c r="A152" s="1" t="n">
        <v>151</v>
      </c>
      <c r="B152" s="7" t="str">
        <f aca="false">HYPERLINK("https://mncourtfraud.com/file/GES-25.zip","GES-25.zip")</f>
        <v>GES-25.zip</v>
      </c>
      <c r="C152" s="8" t="str">
        <f aca="false">HYPERLINK("https://mncourtfraud.com/file/27-CR-21-20988.pdf","27-CR-21-20988")</f>
        <v>27-CR-21-20988</v>
      </c>
      <c r="D152" s="3" t="s">
        <v>88</v>
      </c>
      <c r="E152" s="9" t="n">
        <v>45187</v>
      </c>
      <c r="F152" s="8" t="str">
        <f aca="false">HYPERLINK("https://mncourtfraud.com/file/MCRO_27-CR-21-20988_Order-Evaluation for Competency to Proceed (Rule 20.01)_2023-09-18_20240430083342.pdf","MCRO_27-CR-21-20988_Order-Evaluation for Competency to Proceed (Rule 20.01)_2023-09-18_20240430083342.pdf")</f>
        <v>MCRO_27-CR-21-20988_Order-Evaluation for Competency to Proceed (Rule 20.01)_2023-09-18_20240430083342.pdf</v>
      </c>
      <c r="G152" s="8" t="str">
        <f aca="false">HYPERLINK("https://mncourtfraud.com/file/b5060400b1f379e6c13e8d7836261262547ef130014a07fe917f84ef322e5031.png","b5060400b1f379e6c13e8d7836261262547ef130014a07fe917f84ef322e5031")</f>
        <v>b5060400b1f379e6c13e8d7836261262547ef130014a07fe917f84ef322e5031</v>
      </c>
      <c r="H152" s="1" t="s">
        <v>1460</v>
      </c>
      <c r="I152" s="3" t="s">
        <v>1510</v>
      </c>
      <c r="J152" s="1" t="s">
        <v>1482</v>
      </c>
      <c r="K152" s="3" t="n">
        <v>4298</v>
      </c>
      <c r="L152" s="15" t="s">
        <v>1487</v>
      </c>
      <c r="M152" s="1" t="s">
        <v>1484</v>
      </c>
      <c r="N152" s="9" t="n">
        <v>45187</v>
      </c>
      <c r="O152" s="10" t="s">
        <v>1511</v>
      </c>
      <c r="P152" s="1" t="n">
        <v>2670</v>
      </c>
      <c r="Q152" s="1" t="n">
        <v>160</v>
      </c>
    </row>
    <row r="153" customFormat="false" ht="18.7" hidden="false" customHeight="true" outlineLevel="0" collapsed="false">
      <c r="A153" s="1" t="n">
        <v>152</v>
      </c>
      <c r="B153" s="7" t="str">
        <f aca="false">HYPERLINK("https://mncourtfraud.com/file/GES-25.zip","GES-25.zip")</f>
        <v>GES-25.zip</v>
      </c>
      <c r="C153" s="8" t="str">
        <f aca="false">HYPERLINK("https://mncourtfraud.com/file/27-CR-21-21355.pdf","27-CR-21-21355")</f>
        <v>27-CR-21-21355</v>
      </c>
      <c r="D153" s="3" t="s">
        <v>88</v>
      </c>
      <c r="E153" s="9" t="n">
        <v>45187</v>
      </c>
      <c r="F153" s="8" t="str">
        <f aca="false">HYPERLINK("https://mncourtfraud.com/file/MCRO_27-CR-21-21355_Order-Evaluation for Competency to Proceed (Rule 20.01)_2023-09-18_20240430083448.pdf","MCRO_27-CR-21-21355_Order-Evaluation for Competency to Proceed (Rule 20.01)_2023-09-18_20240430083448.pdf")</f>
        <v>MCRO_27-CR-21-21355_Order-Evaluation for Competency to Proceed (Rule 20.01)_2023-09-18_20240430083448.pdf</v>
      </c>
      <c r="G153" s="8" t="str">
        <f aca="false">HYPERLINK("https://mncourtfraud.com/file/b5060400b1f379e6c13e8d7836261262547ef130014a07fe917f84ef322e5031.png","b5060400b1f379e6c13e8d7836261262547ef130014a07fe917f84ef322e5031")</f>
        <v>b5060400b1f379e6c13e8d7836261262547ef130014a07fe917f84ef322e5031</v>
      </c>
      <c r="H153" s="1" t="s">
        <v>1460</v>
      </c>
      <c r="I153" s="3" t="s">
        <v>1510</v>
      </c>
      <c r="J153" s="1" t="s">
        <v>1482</v>
      </c>
      <c r="K153" s="3" t="n">
        <v>4298</v>
      </c>
      <c r="L153" s="15" t="s">
        <v>1487</v>
      </c>
      <c r="M153" s="1" t="s">
        <v>1484</v>
      </c>
      <c r="N153" s="9" t="n">
        <v>45187</v>
      </c>
      <c r="O153" s="10" t="s">
        <v>1511</v>
      </c>
      <c r="P153" s="1" t="n">
        <v>2670</v>
      </c>
      <c r="Q153" s="1" t="n">
        <v>160</v>
      </c>
    </row>
    <row r="154" customFormat="false" ht="18.7" hidden="false" customHeight="true" outlineLevel="0" collapsed="false">
      <c r="A154" s="1" t="n">
        <v>153</v>
      </c>
      <c r="B154" s="7" t="str">
        <f aca="false">HYPERLINK("https://mncourtfraud.com/file/GES-25.zip","GES-25.zip")</f>
        <v>GES-25.zip</v>
      </c>
      <c r="C154" s="8" t="str">
        <f aca="false">HYPERLINK("https://mncourtfraud.com/file/27-CR-21-23188.pdf","27-CR-21-23188")</f>
        <v>27-CR-21-23188</v>
      </c>
      <c r="D154" s="3" t="s">
        <v>88</v>
      </c>
      <c r="E154" s="9" t="n">
        <v>45187</v>
      </c>
      <c r="F154" s="8" t="str">
        <f aca="false">HYPERLINK("https://mncourtfraud.com/file/MCRO_27-CR-21-23188_Order-Evaluation for Competency to Proceed (Rule 20.01)_2023-09-18_20240430083739.pdf","MCRO_27-CR-21-23188_Order-Evaluation for Competency to Proceed (Rule 20.01)_2023-09-18_20240430083739.pdf")</f>
        <v>MCRO_27-CR-21-23188_Order-Evaluation for Competency to Proceed (Rule 20.01)_2023-09-18_20240430083739.pdf</v>
      </c>
      <c r="G154" s="8" t="str">
        <f aca="false">HYPERLINK("https://mncourtfraud.com/file/b5060400b1f379e6c13e8d7836261262547ef130014a07fe917f84ef322e5031.png","b5060400b1f379e6c13e8d7836261262547ef130014a07fe917f84ef322e5031")</f>
        <v>b5060400b1f379e6c13e8d7836261262547ef130014a07fe917f84ef322e5031</v>
      </c>
      <c r="H154" s="1" t="s">
        <v>1460</v>
      </c>
      <c r="I154" s="3" t="s">
        <v>1510</v>
      </c>
      <c r="J154" s="1" t="s">
        <v>1482</v>
      </c>
      <c r="K154" s="3" t="n">
        <v>4298</v>
      </c>
      <c r="L154" s="15" t="s">
        <v>1487</v>
      </c>
      <c r="M154" s="1" t="s">
        <v>1484</v>
      </c>
      <c r="N154" s="9" t="n">
        <v>45187</v>
      </c>
      <c r="O154" s="10" t="s">
        <v>1511</v>
      </c>
      <c r="P154" s="1" t="n">
        <v>2670</v>
      </c>
      <c r="Q154" s="1" t="n">
        <v>160</v>
      </c>
    </row>
    <row r="155" customFormat="false" ht="18.7" hidden="false" customHeight="true" outlineLevel="0" collapsed="false">
      <c r="A155" s="1" t="n">
        <v>154</v>
      </c>
      <c r="B155" s="7" t="str">
        <f aca="false">HYPERLINK("https://mncourtfraud.com/file/GES-25.zip","GES-25.zip")</f>
        <v>GES-25.zip</v>
      </c>
      <c r="C155" s="8" t="str">
        <f aca="false">HYPERLINK("https://mncourtfraud.com/file/27-CR-21-23215.pdf","27-CR-21-23215")</f>
        <v>27-CR-21-23215</v>
      </c>
      <c r="D155" s="3" t="s">
        <v>88</v>
      </c>
      <c r="E155" s="9" t="n">
        <v>45187</v>
      </c>
      <c r="F155" s="8" t="str">
        <f aca="false">HYPERLINK("https://mncourtfraud.com/file/MCRO_27-CR-21-23215_Order-Evaluation for Competency to Proceed (Rule 20.01)_2023-09-18_20240430084123.pdf","MCRO_27-CR-21-23215_Order-Evaluation for Competency to Proceed (Rule 20.01)_2023-09-18_20240430084123.pdf")</f>
        <v>MCRO_27-CR-21-23215_Order-Evaluation for Competency to Proceed (Rule 20.01)_2023-09-18_20240430084123.pdf</v>
      </c>
      <c r="G155" s="8" t="str">
        <f aca="false">HYPERLINK("https://mncourtfraud.com/file/b5060400b1f379e6c13e8d7836261262547ef130014a07fe917f84ef322e5031.png","b5060400b1f379e6c13e8d7836261262547ef130014a07fe917f84ef322e5031")</f>
        <v>b5060400b1f379e6c13e8d7836261262547ef130014a07fe917f84ef322e5031</v>
      </c>
      <c r="H155" s="1" t="s">
        <v>1460</v>
      </c>
      <c r="I155" s="3" t="s">
        <v>1510</v>
      </c>
      <c r="J155" s="1" t="s">
        <v>1482</v>
      </c>
      <c r="K155" s="3" t="n">
        <v>4298</v>
      </c>
      <c r="L155" s="15" t="s">
        <v>1487</v>
      </c>
      <c r="M155" s="1" t="s">
        <v>1484</v>
      </c>
      <c r="N155" s="9" t="n">
        <v>45187</v>
      </c>
      <c r="O155" s="10" t="s">
        <v>1511</v>
      </c>
      <c r="P155" s="1" t="n">
        <v>2670</v>
      </c>
      <c r="Q155" s="1" t="n">
        <v>160</v>
      </c>
    </row>
    <row r="156" customFormat="false" ht="18.7" hidden="false" customHeight="true" outlineLevel="0" collapsed="false">
      <c r="A156" s="1" t="n">
        <v>155</v>
      </c>
      <c r="B156" s="7" t="str">
        <f aca="false">HYPERLINK("https://mncourtfraud.com/file/GES-25.zip","GES-25.zip")</f>
        <v>GES-25.zip</v>
      </c>
      <c r="C156" s="8" t="str">
        <f aca="false">HYPERLINK("https://mncourtfraud.com/file/27-CR-22-22963.pdf","27-CR-22-22963")</f>
        <v>27-CR-22-22963</v>
      </c>
      <c r="D156" s="3" t="s">
        <v>88</v>
      </c>
      <c r="E156" s="9" t="n">
        <v>45187</v>
      </c>
      <c r="F156" s="8" t="str">
        <f aca="false">HYPERLINK("https://mncourtfraud.com/file/MCRO_27-CR-22-22963_Order-Evaluation for Competency to Proceed (Rule 20.01)_2023-09-18_20240429163938.pdf","MCRO_27-CR-22-22963_Order-Evaluation for Competency to Proceed (Rule 20.01)_2023-09-18_20240429163938.pdf")</f>
        <v>MCRO_27-CR-22-22963_Order-Evaluation for Competency to Proceed (Rule 20.01)_2023-09-18_20240429163938.pdf</v>
      </c>
      <c r="G156" s="8" t="str">
        <f aca="false">HYPERLINK("https://mncourtfraud.com/file/b5060400b1f379e6c13e8d7836261262547ef130014a07fe917f84ef322e5031.png","b5060400b1f379e6c13e8d7836261262547ef130014a07fe917f84ef322e5031")</f>
        <v>b5060400b1f379e6c13e8d7836261262547ef130014a07fe917f84ef322e5031</v>
      </c>
      <c r="H156" s="1" t="s">
        <v>1460</v>
      </c>
      <c r="I156" s="3" t="s">
        <v>1510</v>
      </c>
      <c r="J156" s="1" t="s">
        <v>1482</v>
      </c>
      <c r="K156" s="3" t="n">
        <v>4298</v>
      </c>
      <c r="L156" s="15" t="s">
        <v>1487</v>
      </c>
      <c r="M156" s="1" t="s">
        <v>1484</v>
      </c>
      <c r="N156" s="9" t="n">
        <v>45187</v>
      </c>
      <c r="O156" s="10" t="s">
        <v>1511</v>
      </c>
      <c r="P156" s="1" t="n">
        <v>2670</v>
      </c>
      <c r="Q156" s="1" t="n">
        <v>160</v>
      </c>
    </row>
    <row r="157" customFormat="false" ht="18.7" hidden="false" customHeight="true" outlineLevel="0" collapsed="false">
      <c r="A157" s="1" t="n">
        <v>156</v>
      </c>
      <c r="B157" s="7" t="str">
        <f aca="false">HYPERLINK("https://mncourtfraud.com/file/GES-25.zip","GES-25.zip")</f>
        <v>GES-25.zip</v>
      </c>
      <c r="C157" s="8" t="str">
        <f aca="false">HYPERLINK("https://mncourtfraud.com/file/27-CR-22-4087.pdf","27-CR-22-4087")</f>
        <v>27-CR-22-4087</v>
      </c>
      <c r="D157" s="3" t="s">
        <v>88</v>
      </c>
      <c r="E157" s="9" t="n">
        <v>45187</v>
      </c>
      <c r="F157" s="8" t="str">
        <f aca="false">HYPERLINK("https://mncourtfraud.com/file/MCRO_27-CR-22-4087_Order-Evaluation for Competency to Proceed (Rule 20.01)_2023-09-18_20240429035302.pdf","MCRO_27-CR-22-4087_Order-Evaluation for Competency to Proceed (Rule 20.01)_2023-09-18_20240429035302.pdf")</f>
        <v>MCRO_27-CR-22-4087_Order-Evaluation for Competency to Proceed (Rule 20.01)_2023-09-18_20240429035302.pdf</v>
      </c>
      <c r="G157" s="8" t="str">
        <f aca="false">HYPERLINK("https://mncourtfraud.com/file/b5060400b1f379e6c13e8d7836261262547ef130014a07fe917f84ef322e5031.png","b5060400b1f379e6c13e8d7836261262547ef130014a07fe917f84ef322e5031")</f>
        <v>b5060400b1f379e6c13e8d7836261262547ef130014a07fe917f84ef322e5031</v>
      </c>
      <c r="H157" s="1" t="s">
        <v>1460</v>
      </c>
      <c r="I157" s="3" t="s">
        <v>1510</v>
      </c>
      <c r="J157" s="1" t="s">
        <v>1482</v>
      </c>
      <c r="K157" s="3" t="n">
        <v>4298</v>
      </c>
      <c r="L157" s="15" t="s">
        <v>1487</v>
      </c>
      <c r="M157" s="1" t="s">
        <v>1484</v>
      </c>
      <c r="N157" s="9" t="n">
        <v>45187</v>
      </c>
      <c r="O157" s="10" t="s">
        <v>1511</v>
      </c>
      <c r="P157" s="1" t="n">
        <v>2670</v>
      </c>
      <c r="Q157" s="1" t="n">
        <v>160</v>
      </c>
    </row>
    <row r="158" customFormat="false" ht="18.7" hidden="false" customHeight="true" outlineLevel="0" collapsed="false">
      <c r="A158" s="1" t="n">
        <v>157</v>
      </c>
      <c r="B158" s="7" t="str">
        <f aca="false">HYPERLINK("https://mncourtfraud.com/file/GES-25.zip","GES-25.zip")</f>
        <v>GES-25.zip</v>
      </c>
      <c r="C158" s="8" t="str">
        <f aca="false">HYPERLINK("https://mncourtfraud.com/file/27-CR-23-16927.pdf","27-CR-23-16927")</f>
        <v>27-CR-23-16927</v>
      </c>
      <c r="D158" s="3" t="s">
        <v>88</v>
      </c>
      <c r="E158" s="9" t="n">
        <v>45187</v>
      </c>
      <c r="F158" s="8" t="str">
        <f aca="false">HYPERLINK("https://mncourtfraud.com/file/MCRO_27-CR-23-16927_Order-Evaluation for Competency to Proceed (Rule 20.01)_2023-09-18_20240430074534.pdf","MCRO_27-CR-23-16927_Order-Evaluation for Competency to Proceed (Rule 20.01)_2023-09-18_20240430074534.pdf")</f>
        <v>MCRO_27-CR-23-16927_Order-Evaluation for Competency to Proceed (Rule 20.01)_2023-09-18_20240430074534.pdf</v>
      </c>
      <c r="G158" s="8" t="str">
        <f aca="false">HYPERLINK("https://mncourtfraud.com/file/b5060400b1f379e6c13e8d7836261262547ef130014a07fe917f84ef322e5031.png","b5060400b1f379e6c13e8d7836261262547ef130014a07fe917f84ef322e5031")</f>
        <v>b5060400b1f379e6c13e8d7836261262547ef130014a07fe917f84ef322e5031</v>
      </c>
      <c r="H158" s="1" t="s">
        <v>1460</v>
      </c>
      <c r="I158" s="3" t="s">
        <v>1510</v>
      </c>
      <c r="J158" s="1" t="s">
        <v>1482</v>
      </c>
      <c r="K158" s="3" t="n">
        <v>4298</v>
      </c>
      <c r="L158" s="15" t="s">
        <v>1487</v>
      </c>
      <c r="M158" s="1" t="s">
        <v>1484</v>
      </c>
      <c r="N158" s="9" t="n">
        <v>45187</v>
      </c>
      <c r="O158" s="10" t="s">
        <v>1511</v>
      </c>
      <c r="P158" s="1" t="n">
        <v>2670</v>
      </c>
      <c r="Q158" s="1" t="n">
        <v>160</v>
      </c>
    </row>
    <row r="159" customFormat="false" ht="18.7" hidden="false" customHeight="true" outlineLevel="0" collapsed="false">
      <c r="A159" s="1" t="n">
        <v>158</v>
      </c>
      <c r="E159" s="9"/>
      <c r="K159" s="3"/>
      <c r="L159" s="15"/>
      <c r="N159" s="9"/>
      <c r="O159" s="10"/>
      <c r="P159" s="1"/>
      <c r="Q159" s="1"/>
    </row>
    <row r="160" customFormat="false" ht="18.7" hidden="false" customHeight="true" outlineLevel="0" collapsed="false">
      <c r="A160" s="1" t="n">
        <v>159</v>
      </c>
      <c r="B160" s="7" t="str">
        <f aca="false">HYPERLINK("https://mncourtfraud.com/file/GES-26.zip","GES-26.zip")</f>
        <v>GES-26.zip</v>
      </c>
      <c r="C160" s="8" t="str">
        <f aca="false">HYPERLINK("https://mncourtfraud.com/file/27-CR-21-1980.pdf","27-CR-21-1980")</f>
        <v>27-CR-21-1980</v>
      </c>
      <c r="D160" s="3" t="s">
        <v>85</v>
      </c>
      <c r="E160" s="9" t="n">
        <v>44931</v>
      </c>
      <c r="F160" s="8" t="str">
        <f aca="false">HYPERLINK("https://mncourtfraud.com/file/MCRO_27-CR-21-1980_Order-Evaluation for Competency to Proceed (Rule 20.01)_2023-01-05_20240430080002.pdf","MCRO_27-CR-21-1980_Order-Evaluation for Competency to Proceed (Rule 20.01)_2023-01-05_20240430080002.pdf")</f>
        <v>MCRO_27-CR-21-1980_Order-Evaluation for Competency to Proceed (Rule 20.01)_2023-01-05_20240430080002.pdf</v>
      </c>
      <c r="G160" s="8" t="str">
        <f aca="false">HYPERLINK("https://mncourtfraud.com/file/cf6c9854abd212cb87140ae21552727b7b3daf24fd54d21c00517028be8e8b87.png","cf6c9854abd212cb87140ae21552727b7b3daf24fd54d21c00517028be8e8b87")</f>
        <v>cf6c9854abd212cb87140ae21552727b7b3daf24fd54d21c00517028be8e8b87</v>
      </c>
      <c r="H160" s="1" t="s">
        <v>1460</v>
      </c>
      <c r="I160" s="3" t="s">
        <v>1512</v>
      </c>
      <c r="J160" s="1" t="s">
        <v>1482</v>
      </c>
      <c r="K160" s="3" t="n">
        <v>3967</v>
      </c>
      <c r="L160" s="15" t="s">
        <v>1483</v>
      </c>
      <c r="M160" s="1" t="s">
        <v>1484</v>
      </c>
      <c r="N160" s="9" t="n">
        <v>44931</v>
      </c>
      <c r="O160" s="10" t="s">
        <v>1513</v>
      </c>
      <c r="P160" s="1" t="n">
        <v>2420</v>
      </c>
      <c r="Q160" s="1" t="n">
        <v>160</v>
      </c>
    </row>
    <row r="161" customFormat="false" ht="18.7" hidden="false" customHeight="true" outlineLevel="0" collapsed="false">
      <c r="A161" s="1" t="n">
        <v>160</v>
      </c>
      <c r="B161" s="7" t="str">
        <f aca="false">HYPERLINK("https://mncourtfraud.com/file/GES-26.zip","GES-26.zip")</f>
        <v>GES-26.zip</v>
      </c>
      <c r="C161" s="8" t="str">
        <f aca="false">HYPERLINK("https://mncourtfraud.com/file/27-CR-21-20072.pdf","27-CR-21-20072")</f>
        <v>27-CR-21-20072</v>
      </c>
      <c r="D161" s="3" t="s">
        <v>85</v>
      </c>
      <c r="E161" s="9" t="n">
        <v>44931</v>
      </c>
      <c r="F161" s="8" t="str">
        <f aca="false">HYPERLINK("https://mncourtfraud.com/file/MCRO_27-CR-21-20072_Order-Evaluation for Competency to Proceed (Rule 20.01)_2023-01-05_20240430083053.pdf","MCRO_27-CR-21-20072_Order-Evaluation for Competency to Proceed (Rule 20.01)_2023-01-05_20240430083053.pdf")</f>
        <v>MCRO_27-CR-21-20072_Order-Evaluation for Competency to Proceed (Rule 20.01)_2023-01-05_20240430083053.pdf</v>
      </c>
      <c r="G161" s="8" t="str">
        <f aca="false">HYPERLINK("https://mncourtfraud.com/file/cf6c9854abd212cb87140ae21552727b7b3daf24fd54d21c00517028be8e8b87.png","cf6c9854abd212cb87140ae21552727b7b3daf24fd54d21c00517028be8e8b87")</f>
        <v>cf6c9854abd212cb87140ae21552727b7b3daf24fd54d21c00517028be8e8b87</v>
      </c>
      <c r="H161" s="1" t="s">
        <v>1460</v>
      </c>
      <c r="I161" s="3" t="s">
        <v>1512</v>
      </c>
      <c r="J161" s="1" t="s">
        <v>1482</v>
      </c>
      <c r="K161" s="3" t="n">
        <v>3967</v>
      </c>
      <c r="L161" s="15" t="s">
        <v>1483</v>
      </c>
      <c r="M161" s="1" t="s">
        <v>1484</v>
      </c>
      <c r="N161" s="9" t="n">
        <v>44931</v>
      </c>
      <c r="O161" s="10" t="s">
        <v>1513</v>
      </c>
      <c r="P161" s="1" t="n">
        <v>2420</v>
      </c>
      <c r="Q161" s="1" t="n">
        <v>160</v>
      </c>
    </row>
    <row r="162" customFormat="false" ht="18.7" hidden="false" customHeight="true" outlineLevel="0" collapsed="false">
      <c r="A162" s="1" t="n">
        <v>161</v>
      </c>
      <c r="B162" s="7" t="str">
        <f aca="false">HYPERLINK("https://mncourtfraud.com/file/GES-26.zip","GES-26.zip")</f>
        <v>GES-26.zip</v>
      </c>
      <c r="C162" s="8" t="str">
        <f aca="false">HYPERLINK("https://mncourtfraud.com/file/27-CR-21-20988.pdf","27-CR-21-20988")</f>
        <v>27-CR-21-20988</v>
      </c>
      <c r="D162" s="3" t="s">
        <v>88</v>
      </c>
      <c r="E162" s="9" t="n">
        <v>44931</v>
      </c>
      <c r="F162" s="8" t="str">
        <f aca="false">HYPERLINK("https://mncourtfraud.com/file/MCRO_27-CR-21-20988_Order-Evaluation for Competency to Proceed (Rule 20.01)_2023-01-05_20240430083347.pdf","MCRO_27-CR-21-20988_Order-Evaluation for Competency to Proceed (Rule 20.01)_2023-01-05_20240430083347.pdf")</f>
        <v>MCRO_27-CR-21-20988_Order-Evaluation for Competency to Proceed (Rule 20.01)_2023-01-05_20240430083347.pdf</v>
      </c>
      <c r="G162" s="8" t="str">
        <f aca="false">HYPERLINK("https://mncourtfraud.com/file/cf6c9854abd212cb87140ae21552727b7b3daf24fd54d21c00517028be8e8b87.png","cf6c9854abd212cb87140ae21552727b7b3daf24fd54d21c00517028be8e8b87")</f>
        <v>cf6c9854abd212cb87140ae21552727b7b3daf24fd54d21c00517028be8e8b87</v>
      </c>
      <c r="H162" s="1" t="s">
        <v>1460</v>
      </c>
      <c r="I162" s="3" t="s">
        <v>1512</v>
      </c>
      <c r="J162" s="1" t="s">
        <v>1482</v>
      </c>
      <c r="K162" s="3" t="n">
        <v>3967</v>
      </c>
      <c r="L162" s="15" t="s">
        <v>1483</v>
      </c>
      <c r="M162" s="1" t="s">
        <v>1484</v>
      </c>
      <c r="N162" s="9" t="n">
        <v>44931</v>
      </c>
      <c r="O162" s="10" t="s">
        <v>1513</v>
      </c>
      <c r="P162" s="1" t="n">
        <v>2420</v>
      </c>
      <c r="Q162" s="1" t="n">
        <v>160</v>
      </c>
    </row>
    <row r="163" customFormat="false" ht="18.7" hidden="false" customHeight="true" outlineLevel="0" collapsed="false">
      <c r="A163" s="1" t="n">
        <v>162</v>
      </c>
      <c r="B163" s="7" t="str">
        <f aca="false">HYPERLINK("https://mncourtfraud.com/file/GES-26.zip","GES-26.zip")</f>
        <v>GES-26.zip</v>
      </c>
      <c r="C163" s="8" t="str">
        <f aca="false">HYPERLINK("https://mncourtfraud.com/file/27-CR-21-21355.pdf","27-CR-21-21355")</f>
        <v>27-CR-21-21355</v>
      </c>
      <c r="D163" s="3" t="s">
        <v>88</v>
      </c>
      <c r="E163" s="9" t="n">
        <v>44931</v>
      </c>
      <c r="F163" s="8" t="str">
        <f aca="false">HYPERLINK("https://mncourtfraud.com/file/MCRO_27-CR-21-21355_Order-Evaluation for Competency to Proceed (Rule 20.01)_2023-01-05_20240430083455.pdf","MCRO_27-CR-21-21355_Order-Evaluation for Competency to Proceed (Rule 20.01)_2023-01-05_20240430083455.pdf")</f>
        <v>MCRO_27-CR-21-21355_Order-Evaluation for Competency to Proceed (Rule 20.01)_2023-01-05_20240430083455.pdf</v>
      </c>
      <c r="G163" s="8" t="str">
        <f aca="false">HYPERLINK("https://mncourtfraud.com/file/cf6c9854abd212cb87140ae21552727b7b3daf24fd54d21c00517028be8e8b87.png","cf6c9854abd212cb87140ae21552727b7b3daf24fd54d21c00517028be8e8b87")</f>
        <v>cf6c9854abd212cb87140ae21552727b7b3daf24fd54d21c00517028be8e8b87</v>
      </c>
      <c r="H163" s="1" t="s">
        <v>1460</v>
      </c>
      <c r="I163" s="3" t="s">
        <v>1512</v>
      </c>
      <c r="J163" s="1" t="s">
        <v>1482</v>
      </c>
      <c r="K163" s="3" t="n">
        <v>3967</v>
      </c>
      <c r="L163" s="15" t="s">
        <v>1483</v>
      </c>
      <c r="M163" s="1" t="s">
        <v>1484</v>
      </c>
      <c r="N163" s="9" t="n">
        <v>44931</v>
      </c>
      <c r="O163" s="10" t="s">
        <v>1513</v>
      </c>
      <c r="P163" s="1" t="n">
        <v>2420</v>
      </c>
      <c r="Q163" s="1" t="n">
        <v>160</v>
      </c>
    </row>
    <row r="164" customFormat="false" ht="18.7" hidden="false" customHeight="true" outlineLevel="0" collapsed="false">
      <c r="A164" s="1" t="n">
        <v>163</v>
      </c>
      <c r="B164" s="7" t="str">
        <f aca="false">HYPERLINK("https://mncourtfraud.com/file/GES-26.zip","GES-26.zip")</f>
        <v>GES-26.zip</v>
      </c>
      <c r="C164" s="8" t="str">
        <f aca="false">HYPERLINK("https://mncourtfraud.com/file/27-CR-21-23188.pdf","27-CR-21-23188")</f>
        <v>27-CR-21-23188</v>
      </c>
      <c r="D164" s="3" t="s">
        <v>88</v>
      </c>
      <c r="E164" s="9" t="n">
        <v>44931</v>
      </c>
      <c r="F164" s="8" t="str">
        <f aca="false">HYPERLINK("https://mncourtfraud.com/file/MCRO_27-CR-21-23188_Order-Evaluation for Competency to Proceed (Rule 20.01)_2023-01-05_20240430083744.pdf","MCRO_27-CR-21-23188_Order-Evaluation for Competency to Proceed (Rule 20.01)_2023-01-05_20240430083744.pdf")</f>
        <v>MCRO_27-CR-21-23188_Order-Evaluation for Competency to Proceed (Rule 20.01)_2023-01-05_20240430083744.pdf</v>
      </c>
      <c r="G164" s="8" t="str">
        <f aca="false">HYPERLINK("https://mncourtfraud.com/file/cf6c9854abd212cb87140ae21552727b7b3daf24fd54d21c00517028be8e8b87.png","cf6c9854abd212cb87140ae21552727b7b3daf24fd54d21c00517028be8e8b87")</f>
        <v>cf6c9854abd212cb87140ae21552727b7b3daf24fd54d21c00517028be8e8b87</v>
      </c>
      <c r="H164" s="1" t="s">
        <v>1460</v>
      </c>
      <c r="I164" s="3" t="s">
        <v>1512</v>
      </c>
      <c r="J164" s="1" t="s">
        <v>1482</v>
      </c>
      <c r="K164" s="3" t="n">
        <v>3967</v>
      </c>
      <c r="L164" s="15" t="s">
        <v>1483</v>
      </c>
      <c r="M164" s="1" t="s">
        <v>1484</v>
      </c>
      <c r="N164" s="9" t="n">
        <v>44931</v>
      </c>
      <c r="O164" s="10" t="s">
        <v>1513</v>
      </c>
      <c r="P164" s="1" t="n">
        <v>2420</v>
      </c>
      <c r="Q164" s="1" t="n">
        <v>160</v>
      </c>
    </row>
    <row r="165" customFormat="false" ht="18.7" hidden="false" customHeight="true" outlineLevel="0" collapsed="false">
      <c r="A165" s="1" t="n">
        <v>164</v>
      </c>
      <c r="B165" s="7" t="str">
        <f aca="false">HYPERLINK("https://mncourtfraud.com/file/GES-26.zip","GES-26.zip")</f>
        <v>GES-26.zip</v>
      </c>
      <c r="C165" s="8" t="str">
        <f aca="false">HYPERLINK("https://mncourtfraud.com/file/27-CR-21-23215.pdf","27-CR-21-23215")</f>
        <v>27-CR-21-23215</v>
      </c>
      <c r="D165" s="3" t="s">
        <v>88</v>
      </c>
      <c r="E165" s="9" t="n">
        <v>44931</v>
      </c>
      <c r="F165" s="8" t="str">
        <f aca="false">HYPERLINK("https://mncourtfraud.com/file/MCRO_27-CR-21-23215_Order-Evaluation for Competency to Proceed (Rule 20.01)_2023-01-05_20240430084127.pdf","MCRO_27-CR-21-23215_Order-Evaluation for Competency to Proceed (Rule 20.01)_2023-01-05_20240430084127.pdf")</f>
        <v>MCRO_27-CR-21-23215_Order-Evaluation for Competency to Proceed (Rule 20.01)_2023-01-05_20240430084127.pdf</v>
      </c>
      <c r="G165" s="8" t="str">
        <f aca="false">HYPERLINK("https://mncourtfraud.com/file/cf6c9854abd212cb87140ae21552727b7b3daf24fd54d21c00517028be8e8b87.png","cf6c9854abd212cb87140ae21552727b7b3daf24fd54d21c00517028be8e8b87")</f>
        <v>cf6c9854abd212cb87140ae21552727b7b3daf24fd54d21c00517028be8e8b87</v>
      </c>
      <c r="H165" s="1" t="s">
        <v>1460</v>
      </c>
      <c r="I165" s="3" t="s">
        <v>1512</v>
      </c>
      <c r="J165" s="1" t="s">
        <v>1482</v>
      </c>
      <c r="K165" s="3" t="n">
        <v>3967</v>
      </c>
      <c r="L165" s="15" t="s">
        <v>1483</v>
      </c>
      <c r="M165" s="1" t="s">
        <v>1484</v>
      </c>
      <c r="N165" s="9" t="n">
        <v>44931</v>
      </c>
      <c r="O165" s="10" t="s">
        <v>1513</v>
      </c>
      <c r="P165" s="1" t="n">
        <v>2420</v>
      </c>
      <c r="Q165" s="1" t="n">
        <v>160</v>
      </c>
    </row>
    <row r="166" customFormat="false" ht="18.7" hidden="false" customHeight="true" outlineLevel="0" collapsed="false">
      <c r="A166" s="1" t="n">
        <v>165</v>
      </c>
      <c r="B166" s="7" t="str">
        <f aca="false">HYPERLINK("https://mncourtfraud.com/file/GES-26.zip","GES-26.zip")</f>
        <v>GES-26.zip</v>
      </c>
      <c r="C166" s="8" t="str">
        <f aca="false">HYPERLINK("https://mncourtfraud.com/file/27-CR-22-4087.pdf","27-CR-22-4087")</f>
        <v>27-CR-22-4087</v>
      </c>
      <c r="D166" s="3" t="s">
        <v>88</v>
      </c>
      <c r="E166" s="9" t="n">
        <v>44931</v>
      </c>
      <c r="F166" s="8" t="str">
        <f aca="false">HYPERLINK("https://mncourtfraud.com/file/MCRO_27-CR-22-4087_Order-Evaluation for Competency to Proceed (Rule 20.01)_2023-01-05_20240429035312.pdf","MCRO_27-CR-22-4087_Order-Evaluation for Competency to Proceed (Rule 20.01)_2023-01-05_20240429035312.pdf")</f>
        <v>MCRO_27-CR-22-4087_Order-Evaluation for Competency to Proceed (Rule 20.01)_2023-01-05_20240429035312.pdf</v>
      </c>
      <c r="G166" s="8" t="str">
        <f aca="false">HYPERLINK("https://mncourtfraud.com/file/cf6c9854abd212cb87140ae21552727b7b3daf24fd54d21c00517028be8e8b87.png","cf6c9854abd212cb87140ae21552727b7b3daf24fd54d21c00517028be8e8b87")</f>
        <v>cf6c9854abd212cb87140ae21552727b7b3daf24fd54d21c00517028be8e8b87</v>
      </c>
      <c r="H166" s="1" t="s">
        <v>1460</v>
      </c>
      <c r="I166" s="3" t="s">
        <v>1512</v>
      </c>
      <c r="J166" s="1" t="s">
        <v>1482</v>
      </c>
      <c r="K166" s="3" t="n">
        <v>3967</v>
      </c>
      <c r="L166" s="15" t="s">
        <v>1483</v>
      </c>
      <c r="M166" s="1" t="s">
        <v>1484</v>
      </c>
      <c r="N166" s="9" t="n">
        <v>44931</v>
      </c>
      <c r="O166" s="10" t="s">
        <v>1513</v>
      </c>
      <c r="P166" s="1" t="n">
        <v>2420</v>
      </c>
      <c r="Q166" s="1" t="n">
        <v>160</v>
      </c>
    </row>
    <row r="167" customFormat="false" ht="18.7" hidden="false" customHeight="true" outlineLevel="0" collapsed="false">
      <c r="A167" s="1" t="n">
        <v>166</v>
      </c>
      <c r="E167" s="9"/>
      <c r="K167" s="3"/>
      <c r="L167" s="15"/>
      <c r="N167" s="9"/>
      <c r="O167" s="10"/>
      <c r="P167" s="1"/>
      <c r="Q167" s="1"/>
    </row>
    <row r="168" customFormat="false" ht="18.7" hidden="false" customHeight="true" outlineLevel="0" collapsed="false">
      <c r="A168" s="1" t="n">
        <v>167</v>
      </c>
      <c r="B168" s="7" t="str">
        <f aca="false">HYPERLINK("https://mncourtfraud.com/file/GES-27.zip","GES-27.zip")</f>
        <v>GES-27.zip</v>
      </c>
      <c r="C168" s="8" t="str">
        <f aca="false">HYPERLINK("https://mncourtfraud.com/file/27-CR-21-1980.pdf","27-CR-21-1980")</f>
        <v>27-CR-21-1980</v>
      </c>
      <c r="D168" s="3" t="s">
        <v>85</v>
      </c>
      <c r="E168" s="9" t="n">
        <v>45078</v>
      </c>
      <c r="F168" s="8" t="str">
        <f aca="false">HYPERLINK("https://mncourtfraud.com/file/MCRO_27-CR-21-1980_Finding of Incompetency and Order_2023-06-01_20240430075958.pdf","MCRO_27-CR-21-1980_Finding of Incompetency and Order_2023-06-01_20240430075958.pdf")</f>
        <v>MCRO_27-CR-21-1980_Finding of Incompetency and Order_2023-06-01_20240430075958.pdf</v>
      </c>
      <c r="G168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68" s="1" t="s">
        <v>1460</v>
      </c>
      <c r="I168" s="3" t="s">
        <v>1514</v>
      </c>
      <c r="J168" s="1" t="s">
        <v>1482</v>
      </c>
      <c r="K168" s="3" t="n">
        <v>1976</v>
      </c>
      <c r="L168" s="15" t="s">
        <v>1515</v>
      </c>
      <c r="M168" s="1" t="s">
        <v>1484</v>
      </c>
      <c r="N168" s="9" t="n">
        <v>45077</v>
      </c>
      <c r="O168" s="10" t="s">
        <v>1516</v>
      </c>
      <c r="P168" s="1" t="n">
        <v>1090</v>
      </c>
      <c r="Q168" s="1" t="n">
        <v>100</v>
      </c>
    </row>
    <row r="169" customFormat="false" ht="18.7" hidden="false" customHeight="true" outlineLevel="0" collapsed="false">
      <c r="A169" s="1" t="n">
        <v>168</v>
      </c>
      <c r="B169" s="7" t="str">
        <f aca="false">HYPERLINK("https://mncourtfraud.com/file/GES-27.zip","GES-27.zip")</f>
        <v>GES-27.zip</v>
      </c>
      <c r="C169" s="8" t="str">
        <f aca="false">HYPERLINK("https://mncourtfraud.com/file/27-CR-21-20072.pdf","27-CR-21-20072")</f>
        <v>27-CR-21-20072</v>
      </c>
      <c r="D169" s="3" t="s">
        <v>85</v>
      </c>
      <c r="E169" s="9" t="n">
        <v>45078</v>
      </c>
      <c r="F169" s="8" t="str">
        <f aca="false">HYPERLINK("https://mncourtfraud.com/file/MCRO_27-CR-21-20072_Finding of Incompetency and Order_2023-06-01_20240430083050.pdf","MCRO_27-CR-21-20072_Finding of Incompetency and Order_2023-06-01_20240430083050.pdf")</f>
        <v>MCRO_27-CR-21-20072_Finding of Incompetency and Order_2023-06-01_20240430083050.pdf</v>
      </c>
      <c r="G169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69" s="1" t="s">
        <v>1460</v>
      </c>
      <c r="I169" s="3" t="s">
        <v>1514</v>
      </c>
      <c r="J169" s="1" t="s">
        <v>1482</v>
      </c>
      <c r="K169" s="3" t="n">
        <v>1976</v>
      </c>
      <c r="L169" s="15" t="s">
        <v>1515</v>
      </c>
      <c r="M169" s="1" t="s">
        <v>1484</v>
      </c>
      <c r="N169" s="9" t="n">
        <v>45077</v>
      </c>
      <c r="O169" s="10" t="s">
        <v>1516</v>
      </c>
      <c r="P169" s="1" t="n">
        <v>1090</v>
      </c>
      <c r="Q169" s="1" t="n">
        <v>100</v>
      </c>
    </row>
    <row r="170" customFormat="false" ht="18.7" hidden="false" customHeight="true" outlineLevel="0" collapsed="false">
      <c r="A170" s="1" t="n">
        <v>169</v>
      </c>
      <c r="B170" s="7" t="str">
        <f aca="false">HYPERLINK("https://mncourtfraud.com/file/GES-27.zip","GES-27.zip")</f>
        <v>GES-27.zip</v>
      </c>
      <c r="C170" s="8" t="str">
        <f aca="false">HYPERLINK("https://mncourtfraud.com/file/27-CR-21-1980.pdf","27-CR-21-1980")</f>
        <v>27-CR-21-1980</v>
      </c>
      <c r="D170" s="3" t="s">
        <v>85</v>
      </c>
      <c r="E170" s="9" t="n">
        <v>45078</v>
      </c>
      <c r="F170" s="8" t="str">
        <f aca="false">HYPERLINK("https://mncourtfraud.com/file/MCRO_27-CR-21-1980_Finding of Incompetency and Order_2023-06-01_20240430075958.pdf","MCRO_27-CR-21-1980_Finding of Incompetency and Order_2023-06-01_20240430075958.pdf")</f>
        <v>MCRO_27-CR-21-1980_Finding of Incompetency and Order_2023-06-01_20240430075958.pdf</v>
      </c>
      <c r="G170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70" s="1" t="s">
        <v>1460</v>
      </c>
      <c r="I170" s="3" t="s">
        <v>1514</v>
      </c>
      <c r="J170" s="1" t="s">
        <v>1482</v>
      </c>
      <c r="K170" s="3" t="n">
        <v>1976</v>
      </c>
      <c r="L170" s="15" t="s">
        <v>1515</v>
      </c>
      <c r="M170" s="1" t="s">
        <v>1484</v>
      </c>
      <c r="N170" s="9" t="n">
        <v>45077</v>
      </c>
      <c r="O170" s="10" t="s">
        <v>1516</v>
      </c>
      <c r="P170" s="1" t="n">
        <v>1090</v>
      </c>
      <c r="Q170" s="1" t="n">
        <v>100</v>
      </c>
    </row>
    <row r="171" customFormat="false" ht="18.7" hidden="false" customHeight="true" outlineLevel="0" collapsed="false">
      <c r="A171" s="1" t="n">
        <v>170</v>
      </c>
      <c r="B171" s="7" t="str">
        <f aca="false">HYPERLINK("https://mncourtfraud.com/file/GES-27.zip","GES-27.zip")</f>
        <v>GES-27.zip</v>
      </c>
      <c r="C171" s="8" t="str">
        <f aca="false">HYPERLINK("https://mncourtfraud.com/file/27-CR-21-20072.pdf","27-CR-21-20072")</f>
        <v>27-CR-21-20072</v>
      </c>
      <c r="D171" s="3" t="s">
        <v>85</v>
      </c>
      <c r="E171" s="9" t="n">
        <v>45078</v>
      </c>
      <c r="F171" s="8" t="str">
        <f aca="false">HYPERLINK("https://mncourtfraud.com/file/MCRO_27-CR-21-20072_Finding of Incompetency and Order_2023-06-01_20240430083050.pdf","MCRO_27-CR-21-20072_Finding of Incompetency and Order_2023-06-01_20240430083050.pdf")</f>
        <v>MCRO_27-CR-21-20072_Finding of Incompetency and Order_2023-06-01_20240430083050.pdf</v>
      </c>
      <c r="G171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71" s="1" t="s">
        <v>1460</v>
      </c>
      <c r="I171" s="3" t="s">
        <v>1514</v>
      </c>
      <c r="J171" s="1" t="s">
        <v>1482</v>
      </c>
      <c r="K171" s="3" t="n">
        <v>1976</v>
      </c>
      <c r="L171" s="15" t="s">
        <v>1515</v>
      </c>
      <c r="M171" s="1" t="s">
        <v>1484</v>
      </c>
      <c r="N171" s="9" t="n">
        <v>45077</v>
      </c>
      <c r="O171" s="10" t="s">
        <v>1516</v>
      </c>
      <c r="P171" s="1" t="n">
        <v>1090</v>
      </c>
      <c r="Q171" s="1" t="n">
        <v>100</v>
      </c>
    </row>
    <row r="172" customFormat="false" ht="18.7" hidden="false" customHeight="true" outlineLevel="0" collapsed="false">
      <c r="A172" s="1" t="n">
        <v>171</v>
      </c>
      <c r="B172" s="7" t="str">
        <f aca="false">HYPERLINK("https://mncourtfraud.com/file/GES-27.zip","GES-27.zip")</f>
        <v>GES-27.zip</v>
      </c>
      <c r="C172" s="8" t="str">
        <f aca="false">HYPERLINK("https://mncourtfraud.com/file/27-CR-21-20988.pdf","27-CR-21-20988")</f>
        <v>27-CR-21-20988</v>
      </c>
      <c r="D172" s="3" t="s">
        <v>88</v>
      </c>
      <c r="E172" s="9" t="n">
        <v>45078</v>
      </c>
      <c r="F172" s="8" t="str">
        <f aca="false">HYPERLINK("https://mncourtfraud.com/file/MCRO_27-CR-21-20988_Finding of Incompetency and Order_2023-06-01_20240430083344.pdf","MCRO_27-CR-21-20988_Finding of Incompetency and Order_2023-06-01_20240430083344.pdf")</f>
        <v>MCRO_27-CR-21-20988_Finding of Incompetency and Order_2023-06-01_20240430083344.pdf</v>
      </c>
      <c r="G172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72" s="1" t="s">
        <v>1460</v>
      </c>
      <c r="I172" s="3" t="s">
        <v>1514</v>
      </c>
      <c r="J172" s="1" t="s">
        <v>1482</v>
      </c>
      <c r="K172" s="3" t="n">
        <v>1976</v>
      </c>
      <c r="L172" s="15" t="s">
        <v>1515</v>
      </c>
      <c r="M172" s="1" t="s">
        <v>1484</v>
      </c>
      <c r="N172" s="9" t="n">
        <v>45077</v>
      </c>
      <c r="O172" s="10" t="s">
        <v>1516</v>
      </c>
      <c r="P172" s="1" t="n">
        <v>1090</v>
      </c>
      <c r="Q172" s="1" t="n">
        <v>100</v>
      </c>
    </row>
    <row r="173" customFormat="false" ht="18.7" hidden="false" customHeight="true" outlineLevel="0" collapsed="false">
      <c r="A173" s="1" t="n">
        <v>172</v>
      </c>
      <c r="B173" s="7" t="str">
        <f aca="false">HYPERLINK("https://mncourtfraud.com/file/GES-27.zip","GES-27.zip")</f>
        <v>GES-27.zip</v>
      </c>
      <c r="C173" s="8" t="str">
        <f aca="false">HYPERLINK("https://mncourtfraud.com/file/27-CR-21-21355.pdf","27-CR-21-21355")</f>
        <v>27-CR-21-21355</v>
      </c>
      <c r="D173" s="3" t="s">
        <v>88</v>
      </c>
      <c r="E173" s="9" t="n">
        <v>45078</v>
      </c>
      <c r="F173" s="8" t="str">
        <f aca="false">HYPERLINK("https://mncourtfraud.com/file/MCRO_27-CR-21-21355_Finding of Incompetency and Order_2023-06-01_20240430083452.pdf","MCRO_27-CR-21-21355_Finding of Incompetency and Order_2023-06-01_20240430083452.pdf")</f>
        <v>MCRO_27-CR-21-21355_Finding of Incompetency and Order_2023-06-01_20240430083452.pdf</v>
      </c>
      <c r="G173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73" s="1" t="s">
        <v>1460</v>
      </c>
      <c r="I173" s="3" t="s">
        <v>1514</v>
      </c>
      <c r="J173" s="1" t="s">
        <v>1482</v>
      </c>
      <c r="K173" s="3" t="n">
        <v>1976</v>
      </c>
      <c r="L173" s="15" t="s">
        <v>1515</v>
      </c>
      <c r="M173" s="1" t="s">
        <v>1484</v>
      </c>
      <c r="N173" s="9" t="n">
        <v>45077</v>
      </c>
      <c r="O173" s="10" t="s">
        <v>1516</v>
      </c>
      <c r="P173" s="1" t="n">
        <v>1090</v>
      </c>
      <c r="Q173" s="1" t="n">
        <v>100</v>
      </c>
    </row>
    <row r="174" customFormat="false" ht="18.7" hidden="false" customHeight="true" outlineLevel="0" collapsed="false">
      <c r="A174" s="1" t="n">
        <v>173</v>
      </c>
      <c r="B174" s="7" t="str">
        <f aca="false">HYPERLINK("https://mncourtfraud.com/file/GES-27.zip","GES-27.zip")</f>
        <v>GES-27.zip</v>
      </c>
      <c r="C174" s="8" t="str">
        <f aca="false">HYPERLINK("https://mncourtfraud.com/file/27-CR-21-23188.pdf","27-CR-21-23188")</f>
        <v>27-CR-21-23188</v>
      </c>
      <c r="D174" s="3" t="s">
        <v>88</v>
      </c>
      <c r="E174" s="9" t="n">
        <v>45078</v>
      </c>
      <c r="F174" s="8" t="str">
        <f aca="false">HYPERLINK("https://mncourtfraud.com/file/MCRO_27-CR-21-23188_Finding of Incompetency and Order_2023-06-01_20240430083741.pdf","MCRO_27-CR-21-23188_Finding of Incompetency and Order_2023-06-01_20240430083741.pdf")</f>
        <v>MCRO_27-CR-21-23188_Finding of Incompetency and Order_2023-06-01_20240430083741.pdf</v>
      </c>
      <c r="G174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74" s="1" t="s">
        <v>1460</v>
      </c>
      <c r="I174" s="3" t="s">
        <v>1514</v>
      </c>
      <c r="J174" s="1" t="s">
        <v>1482</v>
      </c>
      <c r="K174" s="3" t="n">
        <v>1976</v>
      </c>
      <c r="L174" s="15" t="s">
        <v>1515</v>
      </c>
      <c r="M174" s="1" t="s">
        <v>1484</v>
      </c>
      <c r="N174" s="9" t="n">
        <v>45077</v>
      </c>
      <c r="O174" s="10" t="s">
        <v>1516</v>
      </c>
      <c r="P174" s="1" t="n">
        <v>1090</v>
      </c>
      <c r="Q174" s="1" t="n">
        <v>100</v>
      </c>
    </row>
    <row r="175" customFormat="false" ht="18.7" hidden="false" customHeight="true" outlineLevel="0" collapsed="false">
      <c r="A175" s="1" t="n">
        <v>174</v>
      </c>
      <c r="B175" s="7" t="str">
        <f aca="false">HYPERLINK("https://mncourtfraud.com/file/GES-27.zip","GES-27.zip")</f>
        <v>GES-27.zip</v>
      </c>
      <c r="C175" s="8" t="str">
        <f aca="false">HYPERLINK("https://mncourtfraud.com/file/27-CR-22-22963.pdf","27-CR-22-22963")</f>
        <v>27-CR-22-22963</v>
      </c>
      <c r="D175" s="3" t="s">
        <v>88</v>
      </c>
      <c r="E175" s="9" t="n">
        <v>45078</v>
      </c>
      <c r="F175" s="8" t="str">
        <f aca="false">HYPERLINK("https://mncourtfraud.com/file/MCRO_27-CR-22-22963_Finding of Incompetency and Order_2023-06-01_20240429163939.pdf","MCRO_27-CR-22-22963_Finding of Incompetency and Order_2023-06-01_20240429163939.pdf")</f>
        <v>MCRO_27-CR-22-22963_Finding of Incompetency and Order_2023-06-01_20240429163939.pdf</v>
      </c>
      <c r="G175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75" s="1" t="s">
        <v>1460</v>
      </c>
      <c r="I175" s="3" t="s">
        <v>1514</v>
      </c>
      <c r="J175" s="1" t="s">
        <v>1482</v>
      </c>
      <c r="K175" s="3" t="n">
        <v>1976</v>
      </c>
      <c r="L175" s="15" t="s">
        <v>1515</v>
      </c>
      <c r="M175" s="1" t="s">
        <v>1484</v>
      </c>
      <c r="N175" s="9" t="n">
        <v>45077</v>
      </c>
      <c r="O175" s="10" t="s">
        <v>1516</v>
      </c>
      <c r="P175" s="1" t="n">
        <v>1090</v>
      </c>
      <c r="Q175" s="1" t="n">
        <v>100</v>
      </c>
    </row>
    <row r="176" customFormat="false" ht="18.7" hidden="false" customHeight="true" outlineLevel="0" collapsed="false">
      <c r="A176" s="1" t="n">
        <v>175</v>
      </c>
      <c r="B176" s="7" t="str">
        <f aca="false">HYPERLINK("https://mncourtfraud.com/file/GES-27.zip","GES-27.zip")</f>
        <v>GES-27.zip</v>
      </c>
      <c r="C176" s="8" t="str">
        <f aca="false">HYPERLINK("https://mncourtfraud.com/file/27-CR-22-4087.pdf","27-CR-22-4087")</f>
        <v>27-CR-22-4087</v>
      </c>
      <c r="D176" s="3" t="s">
        <v>88</v>
      </c>
      <c r="E176" s="9" t="n">
        <v>45078</v>
      </c>
      <c r="F176" s="8" t="str">
        <f aca="false">HYPERLINK("https://mncourtfraud.com/file/MCRO_27-CR-22-4087_Finding of Incompetency and Order_2023-06-01_20240429035306.pdf","MCRO_27-CR-22-4087_Finding of Incompetency and Order_2023-06-01_20240429035306.pdf")</f>
        <v>MCRO_27-CR-22-4087_Finding of Incompetency and Order_2023-06-01_20240429035306.pdf</v>
      </c>
      <c r="G176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76" s="1" t="s">
        <v>1460</v>
      </c>
      <c r="I176" s="3" t="s">
        <v>1514</v>
      </c>
      <c r="J176" s="1" t="s">
        <v>1482</v>
      </c>
      <c r="K176" s="3" t="n">
        <v>1976</v>
      </c>
      <c r="L176" s="15" t="s">
        <v>1515</v>
      </c>
      <c r="M176" s="1" t="s">
        <v>1484</v>
      </c>
      <c r="N176" s="9" t="n">
        <v>45077</v>
      </c>
      <c r="O176" s="10" t="s">
        <v>1516</v>
      </c>
      <c r="P176" s="1" t="n">
        <v>1090</v>
      </c>
      <c r="Q176" s="1" t="n">
        <v>100</v>
      </c>
    </row>
    <row r="177" customFormat="false" ht="18.7" hidden="false" customHeight="true" outlineLevel="0" collapsed="false">
      <c r="A177" s="1" t="n">
        <v>176</v>
      </c>
      <c r="B177" s="7" t="str">
        <f aca="false">HYPERLINK("https://mncourtfraud.com/file/GES-27.zip","GES-27.zip")</f>
        <v>GES-27.zip</v>
      </c>
      <c r="C177" s="8" t="str">
        <f aca="false">HYPERLINK("https://mncourtfraud.com/file/27-CR-21-20988.pdf","27-CR-21-20988")</f>
        <v>27-CR-21-20988</v>
      </c>
      <c r="D177" s="3" t="s">
        <v>88</v>
      </c>
      <c r="E177" s="9" t="n">
        <v>45078</v>
      </c>
      <c r="F177" s="8" t="str">
        <f aca="false">HYPERLINK("https://mncourtfraud.com/file/MCRO_27-CR-21-20988_Finding of Incompetency and Order_2023-06-01_20240430083344.pdf","MCRO_27-CR-21-20988_Finding of Incompetency and Order_2023-06-01_20240430083344.pdf")</f>
        <v>MCRO_27-CR-21-20988_Finding of Incompetency and Order_2023-06-01_20240430083344.pdf</v>
      </c>
      <c r="G177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77" s="1" t="s">
        <v>1460</v>
      </c>
      <c r="I177" s="3" t="s">
        <v>1514</v>
      </c>
      <c r="J177" s="1" t="s">
        <v>1482</v>
      </c>
      <c r="K177" s="3" t="n">
        <v>1976</v>
      </c>
      <c r="L177" s="15" t="s">
        <v>1515</v>
      </c>
      <c r="M177" s="1" t="s">
        <v>1484</v>
      </c>
      <c r="N177" s="9" t="n">
        <v>45077</v>
      </c>
      <c r="O177" s="10" t="s">
        <v>1516</v>
      </c>
      <c r="P177" s="1" t="n">
        <v>1090</v>
      </c>
      <c r="Q177" s="1" t="n">
        <v>100</v>
      </c>
    </row>
    <row r="178" customFormat="false" ht="18.7" hidden="false" customHeight="true" outlineLevel="0" collapsed="false">
      <c r="A178" s="1" t="n">
        <v>177</v>
      </c>
      <c r="B178" s="7" t="str">
        <f aca="false">HYPERLINK("https://mncourtfraud.com/file/GES-27.zip","GES-27.zip")</f>
        <v>GES-27.zip</v>
      </c>
      <c r="C178" s="8" t="str">
        <f aca="false">HYPERLINK("https://mncourtfraud.com/file/27-CR-21-21355.pdf","27-CR-21-21355")</f>
        <v>27-CR-21-21355</v>
      </c>
      <c r="D178" s="3" t="s">
        <v>88</v>
      </c>
      <c r="E178" s="9" t="n">
        <v>45078</v>
      </c>
      <c r="F178" s="8" t="str">
        <f aca="false">HYPERLINK("https://mncourtfraud.com/file/MCRO_27-CR-21-21355_Finding of Incompetency and Order_2023-06-01_20240430083452.pdf","MCRO_27-CR-21-21355_Finding of Incompetency and Order_2023-06-01_20240430083452.pdf")</f>
        <v>MCRO_27-CR-21-21355_Finding of Incompetency and Order_2023-06-01_20240430083452.pdf</v>
      </c>
      <c r="G178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78" s="1" t="s">
        <v>1460</v>
      </c>
      <c r="I178" s="3" t="s">
        <v>1514</v>
      </c>
      <c r="J178" s="1" t="s">
        <v>1482</v>
      </c>
      <c r="K178" s="3" t="n">
        <v>1976</v>
      </c>
      <c r="L178" s="15" t="s">
        <v>1515</v>
      </c>
      <c r="M178" s="1" t="s">
        <v>1484</v>
      </c>
      <c r="N178" s="9" t="n">
        <v>45077</v>
      </c>
      <c r="O178" s="10" t="s">
        <v>1516</v>
      </c>
      <c r="P178" s="1" t="n">
        <v>1090</v>
      </c>
      <c r="Q178" s="1" t="n">
        <v>100</v>
      </c>
    </row>
    <row r="179" customFormat="false" ht="18.7" hidden="false" customHeight="true" outlineLevel="0" collapsed="false">
      <c r="A179" s="1" t="n">
        <v>178</v>
      </c>
      <c r="B179" s="7" t="str">
        <f aca="false">HYPERLINK("https://mncourtfraud.com/file/GES-27.zip","GES-27.zip")</f>
        <v>GES-27.zip</v>
      </c>
      <c r="C179" s="8" t="str">
        <f aca="false">HYPERLINK("https://mncourtfraud.com/file/27-CR-21-23188.pdf","27-CR-21-23188")</f>
        <v>27-CR-21-23188</v>
      </c>
      <c r="D179" s="3" t="s">
        <v>88</v>
      </c>
      <c r="E179" s="9" t="n">
        <v>45078</v>
      </c>
      <c r="F179" s="8" t="str">
        <f aca="false">HYPERLINK("https://mncourtfraud.com/file/MCRO_27-CR-21-23188_Finding of Incompetency and Order_2023-06-01_20240430083741.pdf","MCRO_27-CR-21-23188_Finding of Incompetency and Order_2023-06-01_20240430083741.pdf")</f>
        <v>MCRO_27-CR-21-23188_Finding of Incompetency and Order_2023-06-01_20240430083741.pdf</v>
      </c>
      <c r="G179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79" s="1" t="s">
        <v>1460</v>
      </c>
      <c r="I179" s="3" t="s">
        <v>1514</v>
      </c>
      <c r="J179" s="1" t="s">
        <v>1482</v>
      </c>
      <c r="K179" s="3" t="n">
        <v>1976</v>
      </c>
      <c r="L179" s="15" t="s">
        <v>1515</v>
      </c>
      <c r="M179" s="1" t="s">
        <v>1484</v>
      </c>
      <c r="N179" s="9" t="n">
        <v>45077</v>
      </c>
      <c r="O179" s="10" t="s">
        <v>1516</v>
      </c>
      <c r="P179" s="1" t="n">
        <v>1090</v>
      </c>
      <c r="Q179" s="1" t="n">
        <v>100</v>
      </c>
    </row>
    <row r="180" customFormat="false" ht="18.7" hidden="false" customHeight="true" outlineLevel="0" collapsed="false">
      <c r="A180" s="1" t="n">
        <v>179</v>
      </c>
      <c r="B180" s="7" t="str">
        <f aca="false">HYPERLINK("https://mncourtfraud.com/file/GES-27.zip","GES-27.zip")</f>
        <v>GES-27.zip</v>
      </c>
      <c r="C180" s="8" t="str">
        <f aca="false">HYPERLINK("https://mncourtfraud.com/file/27-CR-22-22963.pdf","27-CR-22-22963")</f>
        <v>27-CR-22-22963</v>
      </c>
      <c r="D180" s="3" t="s">
        <v>88</v>
      </c>
      <c r="E180" s="9" t="n">
        <v>45078</v>
      </c>
      <c r="F180" s="8" t="str">
        <f aca="false">HYPERLINK("https://mncourtfraud.com/file/MCRO_27-CR-22-22963_Finding of Incompetency and Order_2023-06-01_20240429163939.pdf","MCRO_27-CR-22-22963_Finding of Incompetency and Order_2023-06-01_20240429163939.pdf")</f>
        <v>MCRO_27-CR-22-22963_Finding of Incompetency and Order_2023-06-01_20240429163939.pdf</v>
      </c>
      <c r="G180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80" s="1" t="s">
        <v>1460</v>
      </c>
      <c r="I180" s="3" t="s">
        <v>1514</v>
      </c>
      <c r="J180" s="1" t="s">
        <v>1482</v>
      </c>
      <c r="K180" s="3" t="n">
        <v>1976</v>
      </c>
      <c r="L180" s="15" t="s">
        <v>1515</v>
      </c>
      <c r="M180" s="1" t="s">
        <v>1484</v>
      </c>
      <c r="N180" s="9" t="n">
        <v>45077</v>
      </c>
      <c r="O180" s="10" t="s">
        <v>1516</v>
      </c>
      <c r="P180" s="1" t="n">
        <v>1090</v>
      </c>
      <c r="Q180" s="1" t="n">
        <v>100</v>
      </c>
    </row>
    <row r="181" customFormat="false" ht="18.7" hidden="false" customHeight="true" outlineLevel="0" collapsed="false">
      <c r="A181" s="1" t="n">
        <v>180</v>
      </c>
      <c r="B181" s="7" t="str">
        <f aca="false">HYPERLINK("https://mncourtfraud.com/file/GES-27.zip","GES-27.zip")</f>
        <v>GES-27.zip</v>
      </c>
      <c r="C181" s="8" t="str">
        <f aca="false">HYPERLINK("https://mncourtfraud.com/file/27-CR-22-4087.pdf","27-CR-22-4087")</f>
        <v>27-CR-22-4087</v>
      </c>
      <c r="D181" s="3" t="s">
        <v>88</v>
      </c>
      <c r="E181" s="9" t="n">
        <v>45078</v>
      </c>
      <c r="F181" s="8" t="str">
        <f aca="false">HYPERLINK("https://mncourtfraud.com/file/MCRO_27-CR-22-4087_Finding of Incompetency and Order_2023-06-01_20240429035306.pdf","MCRO_27-CR-22-4087_Finding of Incompetency and Order_2023-06-01_20240429035306.pdf")</f>
        <v>MCRO_27-CR-22-4087_Finding of Incompetency and Order_2023-06-01_20240429035306.pdf</v>
      </c>
      <c r="G181" s="8" t="str">
        <f aca="false">HYPERLINK("https://mncourtfraud.com/file/f179364bbf04531df801597037174f999d40918c9eb674fbc523ff68e4e5f416.png","f179364bbf04531df801597037174f999d40918c9eb674fbc523ff68e4e5f416")</f>
        <v>f179364bbf04531df801597037174f999d40918c9eb674fbc523ff68e4e5f416</v>
      </c>
      <c r="H181" s="1" t="s">
        <v>1460</v>
      </c>
      <c r="I181" s="3" t="s">
        <v>1514</v>
      </c>
      <c r="J181" s="1" t="s">
        <v>1482</v>
      </c>
      <c r="K181" s="3" t="n">
        <v>1976</v>
      </c>
      <c r="L181" s="15" t="s">
        <v>1515</v>
      </c>
      <c r="M181" s="1" t="s">
        <v>1484</v>
      </c>
      <c r="N181" s="9" t="n">
        <v>45077</v>
      </c>
      <c r="O181" s="10" t="s">
        <v>1516</v>
      </c>
      <c r="P181" s="1" t="n">
        <v>1090</v>
      </c>
      <c r="Q181" s="1" t="n">
        <v>100</v>
      </c>
    </row>
    <row r="182" customFormat="false" ht="18.7" hidden="false" customHeight="true" outlineLevel="0" collapsed="false">
      <c r="A182" s="1" t="n">
        <v>181</v>
      </c>
      <c r="E182" s="9"/>
      <c r="K182" s="3"/>
      <c r="L182" s="15"/>
      <c r="N182" s="9"/>
      <c r="O182" s="10"/>
      <c r="P182" s="1"/>
      <c r="Q182" s="1"/>
    </row>
    <row r="183" customFormat="false" ht="18.7" hidden="false" customHeight="true" outlineLevel="0" collapsed="false">
      <c r="A183" s="1" t="n">
        <v>182</v>
      </c>
      <c r="B183" s="7" t="str">
        <f aca="false">HYPERLINK("https://mncourtfraud.com/file/AIO-38.zip","AIO-38.zip")</f>
        <v>AIO-38.zip</v>
      </c>
      <c r="C183" s="8" t="str">
        <f aca="false">HYPERLINK("https://mncourtfraud.com/file/27-CR-18-18391.pdf","27-CR-18-18391")</f>
        <v>27-CR-18-18391</v>
      </c>
      <c r="D183" s="3" t="s">
        <v>586</v>
      </c>
      <c r="E183" s="9" t="n">
        <v>45371</v>
      </c>
      <c r="F183" s="8" t="str">
        <f aca="false">HYPERLINK("https://mncourtfraud.com/file/MCRO_27-CR-18-18391_Finding of Incompetency and Order_2024-03-20_20240430092713.pdf","MCRO_27-CR-18-18391_Finding of Incompetency and Order_2024-03-20_20240430092713.pdf")</f>
        <v>MCRO_27-CR-18-18391_Finding of Incompetency and Order_2024-03-20_20240430092713.pdf</v>
      </c>
      <c r="G183" s="8" t="str">
        <f aca="false">HYPERLINK("https://mncourtfraud.com/file/ca3ab252c77233164e7e9075046bbb713fcc955bf47771e25e88037725876fdc.png","ca3ab252c77233164e7e9075046bbb713fcc955bf47771e25e88037725876fdc")</f>
        <v>ca3ab252c77233164e7e9075046bbb713fcc955bf47771e25e88037725876fdc</v>
      </c>
      <c r="H183" s="1" t="s">
        <v>1460</v>
      </c>
      <c r="I183" s="3" t="s">
        <v>1517</v>
      </c>
      <c r="J183" s="1" t="s">
        <v>1482</v>
      </c>
      <c r="K183" s="3" t="n">
        <v>2178</v>
      </c>
      <c r="L183" s="15" t="s">
        <v>1515</v>
      </c>
      <c r="M183" s="1" t="s">
        <v>1484</v>
      </c>
      <c r="N183" s="9" t="n">
        <v>45370</v>
      </c>
      <c r="O183" s="10" t="s">
        <v>1518</v>
      </c>
      <c r="P183" s="1" t="n">
        <v>1050</v>
      </c>
      <c r="Q183" s="1" t="n">
        <v>110</v>
      </c>
    </row>
    <row r="184" customFormat="false" ht="18.7" hidden="false" customHeight="true" outlineLevel="0" collapsed="false">
      <c r="A184" s="1" t="n">
        <v>183</v>
      </c>
      <c r="B184" s="7" t="str">
        <f aca="false">HYPERLINK("https://mncourtfraud.com/file/AIO-38.zip","AIO-38.zip")</f>
        <v>AIO-38.zip</v>
      </c>
      <c r="C184" s="8" t="str">
        <f aca="false">HYPERLINK("https://mncourtfraud.com/file/27-CR-19-17539.pdf","27-CR-19-17539")</f>
        <v>27-CR-19-17539</v>
      </c>
      <c r="D184" s="3" t="s">
        <v>586</v>
      </c>
      <c r="E184" s="9" t="n">
        <v>45371</v>
      </c>
      <c r="F184" s="8" t="str">
        <f aca="false">HYPERLINK("https://mncourtfraud.com/file/MCRO_27-CR-19-17539_Finding of Incompetency and Order_2024-03-20_20240430091924.pdf","MCRO_27-CR-19-17539_Finding of Incompetency and Order_2024-03-20_20240430091924.pdf")</f>
        <v>MCRO_27-CR-19-17539_Finding of Incompetency and Order_2024-03-20_20240430091924.pdf</v>
      </c>
      <c r="G184" s="8" t="str">
        <f aca="false">HYPERLINK("https://mncourtfraud.com/file/ca3ab252c77233164e7e9075046bbb713fcc955bf47771e25e88037725876fdc.png","ca3ab252c77233164e7e9075046bbb713fcc955bf47771e25e88037725876fdc")</f>
        <v>ca3ab252c77233164e7e9075046bbb713fcc955bf47771e25e88037725876fdc</v>
      </c>
      <c r="H184" s="1" t="s">
        <v>1460</v>
      </c>
      <c r="I184" s="3" t="s">
        <v>1517</v>
      </c>
      <c r="J184" s="1" t="s">
        <v>1482</v>
      </c>
      <c r="K184" s="3" t="n">
        <v>2178</v>
      </c>
      <c r="L184" s="15" t="s">
        <v>1515</v>
      </c>
      <c r="M184" s="1" t="s">
        <v>1484</v>
      </c>
      <c r="N184" s="9" t="n">
        <v>45370</v>
      </c>
      <c r="O184" s="10" t="s">
        <v>1518</v>
      </c>
      <c r="P184" s="1" t="n">
        <v>1050</v>
      </c>
      <c r="Q184" s="1" t="n">
        <v>110</v>
      </c>
    </row>
    <row r="185" customFormat="false" ht="18.7" hidden="false" customHeight="true" outlineLevel="0" collapsed="false">
      <c r="A185" s="1" t="n">
        <v>184</v>
      </c>
      <c r="B185" s="7" t="str">
        <f aca="false">HYPERLINK("https://mncourtfraud.com/file/AIO-38.zip","AIO-38.zip")</f>
        <v>AIO-38.zip</v>
      </c>
      <c r="C185" s="8" t="str">
        <f aca="false">HYPERLINK("https://mncourtfraud.com/file/27-CR-19-1916.pdf","27-CR-19-1916")</f>
        <v>27-CR-19-1916</v>
      </c>
      <c r="D185" s="3" t="s">
        <v>586</v>
      </c>
      <c r="E185" s="9" t="n">
        <v>45371</v>
      </c>
      <c r="F185" s="8" t="str">
        <f aca="false">HYPERLINK("https://mncourtfraud.com/file/MCRO_27-CR-19-1916_Finding of Incompetency and Order_2024-03-20_20240430091206.pdf","MCRO_27-CR-19-1916_Finding of Incompetency and Order_2024-03-20_20240430091206.pdf")</f>
        <v>MCRO_27-CR-19-1916_Finding of Incompetency and Order_2024-03-20_20240430091206.pdf</v>
      </c>
      <c r="G185" s="8" t="str">
        <f aca="false">HYPERLINK("https://mncourtfraud.com/file/ca3ab252c77233164e7e9075046bbb713fcc955bf47771e25e88037725876fdc.png","ca3ab252c77233164e7e9075046bbb713fcc955bf47771e25e88037725876fdc")</f>
        <v>ca3ab252c77233164e7e9075046bbb713fcc955bf47771e25e88037725876fdc</v>
      </c>
      <c r="H185" s="1" t="s">
        <v>1460</v>
      </c>
      <c r="I185" s="3" t="s">
        <v>1517</v>
      </c>
      <c r="J185" s="1" t="s">
        <v>1482</v>
      </c>
      <c r="K185" s="3" t="n">
        <v>2178</v>
      </c>
      <c r="L185" s="15" t="s">
        <v>1515</v>
      </c>
      <c r="M185" s="1" t="s">
        <v>1484</v>
      </c>
      <c r="N185" s="9" t="n">
        <v>45370</v>
      </c>
      <c r="O185" s="10" t="s">
        <v>1518</v>
      </c>
      <c r="P185" s="1" t="n">
        <v>1050</v>
      </c>
      <c r="Q185" s="1" t="n">
        <v>110</v>
      </c>
    </row>
    <row r="186" customFormat="false" ht="18.7" hidden="false" customHeight="true" outlineLevel="0" collapsed="false">
      <c r="A186" s="1" t="n">
        <v>185</v>
      </c>
      <c r="B186" s="7" t="str">
        <f aca="false">HYPERLINK("https://mncourtfraud.com/file/AIO-38.zip","AIO-38.zip")</f>
        <v>AIO-38.zip</v>
      </c>
      <c r="C186" s="8" t="str">
        <f aca="false">HYPERLINK("https://mncourtfraud.com/file/27-CR-19-3539.pdf","27-CR-19-3539")</f>
        <v>27-CR-19-3539</v>
      </c>
      <c r="D186" s="3" t="s">
        <v>586</v>
      </c>
      <c r="E186" s="9" t="n">
        <v>45371</v>
      </c>
      <c r="F186" s="8" t="str">
        <f aca="false">HYPERLINK("https://mncourtfraud.com/file/MCRO_27-CR-19-3539_Finding of Incompetency and Order_2024-03-20_20240430091319.pdf","MCRO_27-CR-19-3539_Finding of Incompetency and Order_2024-03-20_20240430091319.pdf")</f>
        <v>MCRO_27-CR-19-3539_Finding of Incompetency and Order_2024-03-20_20240430091319.pdf</v>
      </c>
      <c r="G186" s="8" t="str">
        <f aca="false">HYPERLINK("https://mncourtfraud.com/file/ca3ab252c77233164e7e9075046bbb713fcc955bf47771e25e88037725876fdc.png","ca3ab252c77233164e7e9075046bbb713fcc955bf47771e25e88037725876fdc")</f>
        <v>ca3ab252c77233164e7e9075046bbb713fcc955bf47771e25e88037725876fdc</v>
      </c>
      <c r="H186" s="1" t="s">
        <v>1460</v>
      </c>
      <c r="I186" s="3" t="s">
        <v>1517</v>
      </c>
      <c r="J186" s="1" t="s">
        <v>1482</v>
      </c>
      <c r="K186" s="3" t="n">
        <v>2178</v>
      </c>
      <c r="L186" s="15" t="s">
        <v>1515</v>
      </c>
      <c r="M186" s="1" t="s">
        <v>1484</v>
      </c>
      <c r="N186" s="9" t="n">
        <v>45370</v>
      </c>
      <c r="O186" s="10" t="s">
        <v>1518</v>
      </c>
      <c r="P186" s="1" t="n">
        <v>1050</v>
      </c>
      <c r="Q186" s="1" t="n">
        <v>110</v>
      </c>
    </row>
    <row r="187" customFormat="false" ht="18.7" hidden="false" customHeight="true" outlineLevel="0" collapsed="false">
      <c r="A187" s="1" t="n">
        <v>186</v>
      </c>
      <c r="B187" s="7" t="str">
        <f aca="false">HYPERLINK("https://mncourtfraud.com/file/AIO-38.zip","AIO-38.zip")</f>
        <v>AIO-38.zip</v>
      </c>
      <c r="C187" s="8" t="str">
        <f aca="false">HYPERLINK("https://mncourtfraud.com/file/27-CR-21-22058.pdf","27-CR-21-22058")</f>
        <v>27-CR-21-22058</v>
      </c>
      <c r="D187" s="3" t="s">
        <v>586</v>
      </c>
      <c r="E187" s="9" t="n">
        <v>45371</v>
      </c>
      <c r="F187" s="8" t="str">
        <f aca="false">HYPERLINK("https://mncourtfraud.com/file/MCRO_27-CR-21-22058_Finding of Incompetency and Order_2024-03-20_20240430083543.pdf","MCRO_27-CR-21-22058_Finding of Incompetency and Order_2024-03-20_20240430083543.pdf")</f>
        <v>MCRO_27-CR-21-22058_Finding of Incompetency and Order_2024-03-20_20240430083543.pdf</v>
      </c>
      <c r="G187" s="8" t="str">
        <f aca="false">HYPERLINK("https://mncourtfraud.com/file/ca3ab252c77233164e7e9075046bbb713fcc955bf47771e25e88037725876fdc.png","ca3ab252c77233164e7e9075046bbb713fcc955bf47771e25e88037725876fdc")</f>
        <v>ca3ab252c77233164e7e9075046bbb713fcc955bf47771e25e88037725876fdc</v>
      </c>
      <c r="H187" s="1" t="s">
        <v>1460</v>
      </c>
      <c r="I187" s="3" t="s">
        <v>1517</v>
      </c>
      <c r="J187" s="1" t="s">
        <v>1482</v>
      </c>
      <c r="K187" s="3" t="n">
        <v>2178</v>
      </c>
      <c r="L187" s="15" t="s">
        <v>1515</v>
      </c>
      <c r="M187" s="1" t="s">
        <v>1484</v>
      </c>
      <c r="N187" s="9" t="n">
        <v>45370</v>
      </c>
      <c r="O187" s="10" t="s">
        <v>1518</v>
      </c>
      <c r="P187" s="1" t="n">
        <v>1050</v>
      </c>
      <c r="Q187" s="1" t="n">
        <v>110</v>
      </c>
    </row>
    <row r="188" customFormat="false" ht="18.7" hidden="false" customHeight="true" outlineLevel="0" collapsed="false">
      <c r="A188" s="1" t="n">
        <v>187</v>
      </c>
      <c r="E188" s="9"/>
      <c r="K188" s="3"/>
      <c r="L188" s="15"/>
      <c r="N188" s="9"/>
      <c r="O188" s="10"/>
      <c r="P188" s="1"/>
      <c r="Q188" s="1"/>
    </row>
    <row r="189" customFormat="false" ht="18.7" hidden="false" customHeight="true" outlineLevel="0" collapsed="false">
      <c r="A189" s="1" t="n">
        <v>188</v>
      </c>
      <c r="B189" s="7" t="str">
        <f aca="false">HYPERLINK("https://mncourtfraud.com/file/AIO-39.zip","AIO-39.zip")</f>
        <v>AIO-39.zip</v>
      </c>
      <c r="C189" s="8" t="str">
        <f aca="false">HYPERLINK("https://mncourtfraud.com/file/27-CR-18-18391.pdf","27-CR-18-18391")</f>
        <v>27-CR-18-18391</v>
      </c>
      <c r="D189" s="3" t="s">
        <v>586</v>
      </c>
      <c r="E189" s="9" t="n">
        <v>45083</v>
      </c>
      <c r="F189" s="8" t="str">
        <f aca="false">HYPERLINK("https://mncourtfraud.com/file/MCRO_27-CR-18-18391_Finding of Incompetency and Order_2023-06-06_20240430092721.pdf","MCRO_27-CR-18-18391_Finding of Incompetency and Order_2023-06-06_20240430092721.pdf")</f>
        <v>MCRO_27-CR-18-18391_Finding of Incompetency and Order_2023-06-06_20240430092721.pdf</v>
      </c>
      <c r="G189" s="8" t="str">
        <f aca="false">HYPERLINK("https://mncourtfraud.com/file/833f5d4a5d5c92595fe37c7b36dbd41157370d98d60966cfe0b1c835ef75f6bd.png","833f5d4a5d5c92595fe37c7b36dbd41157370d98d60966cfe0b1c835ef75f6bd")</f>
        <v>833f5d4a5d5c92595fe37c7b36dbd41157370d98d60966cfe0b1c835ef75f6bd</v>
      </c>
      <c r="H189" s="1" t="s">
        <v>1460</v>
      </c>
      <c r="I189" s="3" t="s">
        <v>1519</v>
      </c>
      <c r="J189" s="1" t="s">
        <v>1482</v>
      </c>
      <c r="K189" s="3" t="n">
        <v>3592</v>
      </c>
      <c r="L189" s="15" t="s">
        <v>1496</v>
      </c>
      <c r="M189" s="1" t="s">
        <v>1484</v>
      </c>
      <c r="N189" s="9" t="n">
        <v>45083</v>
      </c>
      <c r="O189" s="10" t="s">
        <v>1520</v>
      </c>
      <c r="P189" s="1" t="n">
        <v>1500</v>
      </c>
      <c r="Q189" s="1" t="n">
        <v>160</v>
      </c>
    </row>
    <row r="190" customFormat="false" ht="18.7" hidden="false" customHeight="true" outlineLevel="0" collapsed="false">
      <c r="A190" s="1" t="n">
        <v>189</v>
      </c>
      <c r="B190" s="7" t="str">
        <f aca="false">HYPERLINK("https://mncourtfraud.com/file/AIO-39.zip","AIO-39.zip")</f>
        <v>AIO-39.zip</v>
      </c>
      <c r="C190" s="8" t="str">
        <f aca="false">HYPERLINK("https://mncourtfraud.com/file/27-CR-19-17539.pdf","27-CR-19-17539")</f>
        <v>27-CR-19-17539</v>
      </c>
      <c r="D190" s="3" t="s">
        <v>586</v>
      </c>
      <c r="E190" s="9" t="n">
        <v>45083</v>
      </c>
      <c r="F190" s="8" t="str">
        <f aca="false">HYPERLINK("https://mncourtfraud.com/file/MCRO_27-CR-19-17539_Finding of Incompetency and Order_2023-06-06_20240430091932.pdf","MCRO_27-CR-19-17539_Finding of Incompetency and Order_2023-06-06_20240430091932.pdf")</f>
        <v>MCRO_27-CR-19-17539_Finding of Incompetency and Order_2023-06-06_20240430091932.pdf</v>
      </c>
      <c r="G190" s="8" t="str">
        <f aca="false">HYPERLINK("https://mncourtfraud.com/file/833f5d4a5d5c92595fe37c7b36dbd41157370d98d60966cfe0b1c835ef75f6bd.png","833f5d4a5d5c92595fe37c7b36dbd41157370d98d60966cfe0b1c835ef75f6bd")</f>
        <v>833f5d4a5d5c92595fe37c7b36dbd41157370d98d60966cfe0b1c835ef75f6bd</v>
      </c>
      <c r="H190" s="1" t="s">
        <v>1460</v>
      </c>
      <c r="I190" s="3" t="s">
        <v>1519</v>
      </c>
      <c r="J190" s="1" t="s">
        <v>1482</v>
      </c>
      <c r="K190" s="3" t="n">
        <v>3592</v>
      </c>
      <c r="L190" s="15" t="s">
        <v>1496</v>
      </c>
      <c r="M190" s="1" t="s">
        <v>1484</v>
      </c>
      <c r="N190" s="9" t="n">
        <v>45083</v>
      </c>
      <c r="O190" s="10" t="s">
        <v>1520</v>
      </c>
      <c r="P190" s="1" t="n">
        <v>1500</v>
      </c>
      <c r="Q190" s="1" t="n">
        <v>160</v>
      </c>
    </row>
    <row r="191" customFormat="false" ht="18.7" hidden="false" customHeight="true" outlineLevel="0" collapsed="false">
      <c r="A191" s="1" t="n">
        <v>190</v>
      </c>
      <c r="B191" s="7" t="str">
        <f aca="false">HYPERLINK("https://mncourtfraud.com/file/AIO-39.zip","AIO-39.zip")</f>
        <v>AIO-39.zip</v>
      </c>
      <c r="C191" s="8" t="str">
        <f aca="false">HYPERLINK("https://mncourtfraud.com/file/27-CR-19-1916.pdf","27-CR-19-1916")</f>
        <v>27-CR-19-1916</v>
      </c>
      <c r="D191" s="3" t="s">
        <v>586</v>
      </c>
      <c r="E191" s="9" t="n">
        <v>45083</v>
      </c>
      <c r="F191" s="8" t="str">
        <f aca="false">HYPERLINK("https://mncourtfraud.com/file/MCRO_27-CR-19-1916_Finding of Incompetency and Order_2023-06-06_20240430091213.pdf","MCRO_27-CR-19-1916_Finding of Incompetency and Order_2023-06-06_20240430091213.pdf")</f>
        <v>MCRO_27-CR-19-1916_Finding of Incompetency and Order_2023-06-06_20240430091213.pdf</v>
      </c>
      <c r="G191" s="8" t="str">
        <f aca="false">HYPERLINK("https://mncourtfraud.com/file/833f5d4a5d5c92595fe37c7b36dbd41157370d98d60966cfe0b1c835ef75f6bd.png","833f5d4a5d5c92595fe37c7b36dbd41157370d98d60966cfe0b1c835ef75f6bd")</f>
        <v>833f5d4a5d5c92595fe37c7b36dbd41157370d98d60966cfe0b1c835ef75f6bd</v>
      </c>
      <c r="H191" s="1" t="s">
        <v>1460</v>
      </c>
      <c r="I191" s="3" t="s">
        <v>1519</v>
      </c>
      <c r="J191" s="1" t="s">
        <v>1482</v>
      </c>
      <c r="K191" s="3" t="n">
        <v>3592</v>
      </c>
      <c r="L191" s="15" t="s">
        <v>1496</v>
      </c>
      <c r="M191" s="1" t="s">
        <v>1484</v>
      </c>
      <c r="N191" s="9" t="n">
        <v>45083</v>
      </c>
      <c r="O191" s="10" t="s">
        <v>1520</v>
      </c>
      <c r="P191" s="1" t="n">
        <v>1500</v>
      </c>
      <c r="Q191" s="1" t="n">
        <v>160</v>
      </c>
    </row>
    <row r="192" customFormat="false" ht="18.7" hidden="false" customHeight="true" outlineLevel="0" collapsed="false">
      <c r="A192" s="1" t="n">
        <v>191</v>
      </c>
      <c r="B192" s="7" t="str">
        <f aca="false">HYPERLINK("https://mncourtfraud.com/file/AIO-39.zip","AIO-39.zip")</f>
        <v>AIO-39.zip</v>
      </c>
      <c r="C192" s="8" t="str">
        <f aca="false">HYPERLINK("https://mncourtfraud.com/file/27-CR-19-3539.pdf","27-CR-19-3539")</f>
        <v>27-CR-19-3539</v>
      </c>
      <c r="D192" s="3" t="s">
        <v>586</v>
      </c>
      <c r="E192" s="9" t="n">
        <v>45083</v>
      </c>
      <c r="F192" s="8" t="str">
        <f aca="false">HYPERLINK("https://mncourtfraud.com/file/MCRO_27-CR-19-3539_Finding of Incompetency and Order_2023-06-06_20240430091325.pdf","MCRO_27-CR-19-3539_Finding of Incompetency and Order_2023-06-06_20240430091325.pdf")</f>
        <v>MCRO_27-CR-19-3539_Finding of Incompetency and Order_2023-06-06_20240430091325.pdf</v>
      </c>
      <c r="G192" s="8" t="str">
        <f aca="false">HYPERLINK("https://mncourtfraud.com/file/833f5d4a5d5c92595fe37c7b36dbd41157370d98d60966cfe0b1c835ef75f6bd.png","833f5d4a5d5c92595fe37c7b36dbd41157370d98d60966cfe0b1c835ef75f6bd")</f>
        <v>833f5d4a5d5c92595fe37c7b36dbd41157370d98d60966cfe0b1c835ef75f6bd</v>
      </c>
      <c r="H192" s="1" t="s">
        <v>1460</v>
      </c>
      <c r="I192" s="3" t="s">
        <v>1519</v>
      </c>
      <c r="J192" s="1" t="s">
        <v>1482</v>
      </c>
      <c r="K192" s="3" t="n">
        <v>3592</v>
      </c>
      <c r="L192" s="15" t="s">
        <v>1496</v>
      </c>
      <c r="M192" s="1" t="s">
        <v>1484</v>
      </c>
      <c r="N192" s="9" t="n">
        <v>45083</v>
      </c>
      <c r="O192" s="10" t="s">
        <v>1520</v>
      </c>
      <c r="P192" s="1" t="n">
        <v>1500</v>
      </c>
      <c r="Q192" s="1" t="n">
        <v>160</v>
      </c>
    </row>
    <row r="193" customFormat="false" ht="18.7" hidden="false" customHeight="true" outlineLevel="0" collapsed="false">
      <c r="A193" s="1" t="n">
        <v>192</v>
      </c>
      <c r="B193" s="7" t="str">
        <f aca="false">HYPERLINK("https://mncourtfraud.com/file/AIO-39.zip","AIO-39.zip")</f>
        <v>AIO-39.zip</v>
      </c>
      <c r="C193" s="8" t="str">
        <f aca="false">HYPERLINK("https://mncourtfraud.com/file/27-CR-21-22058.pdf","27-CR-21-22058")</f>
        <v>27-CR-21-22058</v>
      </c>
      <c r="D193" s="3" t="s">
        <v>586</v>
      </c>
      <c r="E193" s="9" t="n">
        <v>45083</v>
      </c>
      <c r="F193" s="8" t="str">
        <f aca="false">HYPERLINK("https://mncourtfraud.com/file/MCRO_27-CR-21-22058_Finding of Incompetency and Order_2023-06-06_20240430083549.pdf","MCRO_27-CR-21-22058_Finding of Incompetency and Order_2023-06-06_20240430083549.pdf")</f>
        <v>MCRO_27-CR-21-22058_Finding of Incompetency and Order_2023-06-06_20240430083549.pdf</v>
      </c>
      <c r="G193" s="8" t="str">
        <f aca="false">HYPERLINK("https://mncourtfraud.com/file/833f5d4a5d5c92595fe37c7b36dbd41157370d98d60966cfe0b1c835ef75f6bd.png","833f5d4a5d5c92595fe37c7b36dbd41157370d98d60966cfe0b1c835ef75f6bd")</f>
        <v>833f5d4a5d5c92595fe37c7b36dbd41157370d98d60966cfe0b1c835ef75f6bd</v>
      </c>
      <c r="H193" s="1" t="s">
        <v>1460</v>
      </c>
      <c r="I193" s="3" t="s">
        <v>1519</v>
      </c>
      <c r="J193" s="1" t="s">
        <v>1482</v>
      </c>
      <c r="K193" s="3" t="n">
        <v>3592</v>
      </c>
      <c r="L193" s="15" t="s">
        <v>1496</v>
      </c>
      <c r="M193" s="1" t="s">
        <v>1484</v>
      </c>
      <c r="N193" s="9" t="n">
        <v>45083</v>
      </c>
      <c r="O193" s="10" t="s">
        <v>1520</v>
      </c>
      <c r="P193" s="1" t="n">
        <v>1500</v>
      </c>
      <c r="Q193" s="1" t="n">
        <v>160</v>
      </c>
    </row>
    <row r="194" customFormat="false" ht="18.7" hidden="false" customHeight="true" outlineLevel="0" collapsed="false">
      <c r="A194" s="1" t="n">
        <v>193</v>
      </c>
      <c r="E194" s="9"/>
      <c r="K194" s="3"/>
      <c r="L194" s="15"/>
      <c r="N194" s="9"/>
      <c r="O194" s="10"/>
      <c r="P194" s="1"/>
      <c r="Q194" s="1"/>
    </row>
    <row r="195" customFormat="false" ht="18.7" hidden="false" customHeight="true" outlineLevel="0" collapsed="false">
      <c r="A195" s="1" t="n">
        <v>194</v>
      </c>
      <c r="B195" s="7" t="str">
        <f aca="false">HYPERLINK("https://mncourtfraud.com/file/AIO-40.zip","AIO-40.zip")</f>
        <v>AIO-40.zip</v>
      </c>
      <c r="C195" s="8" t="str">
        <f aca="false">HYPERLINK("https://mncourtfraud.com/file/27-CR-18-18391.pdf","27-CR-18-18391")</f>
        <v>27-CR-18-18391</v>
      </c>
      <c r="D195" s="3" t="s">
        <v>586</v>
      </c>
      <c r="E195" s="9" t="n">
        <v>45197</v>
      </c>
      <c r="F195" s="8" t="str">
        <f aca="false">HYPERLINK("https://mncourtfraud.com/file/MCRO_27-CR-18-18391_Order-Evaluation for Competency to Proceed (Rule 20.01)_2023-09-28_20240430092718.pdf","MCRO_27-CR-18-18391_Order-Evaluation for Competency to Proceed (Rule 20.01)_2023-09-28_20240430092718.pdf")</f>
        <v>MCRO_27-CR-18-18391_Order-Evaluation for Competency to Proceed (Rule 20.01)_2023-09-28_20240430092718.pdf</v>
      </c>
      <c r="G195" s="8" t="str">
        <f aca="false">HYPERLINK("https://mncourtfraud.com/file/4e26be5dda4d94ce1a5ebb00c2877d00d5c2e7a9e31d68e3438cb2bc2677c795.png","4e26be5dda4d94ce1a5ebb00c2877d00d5c2e7a9e31d68e3438cb2bc2677c795")</f>
        <v>4e26be5dda4d94ce1a5ebb00c2877d00d5c2e7a9e31d68e3438cb2bc2677c795</v>
      </c>
      <c r="H195" s="1" t="s">
        <v>1460</v>
      </c>
      <c r="I195" s="3" t="s">
        <v>1521</v>
      </c>
      <c r="J195" s="1" t="s">
        <v>1482</v>
      </c>
      <c r="K195" s="3" t="n">
        <v>4253</v>
      </c>
      <c r="L195" s="15" t="s">
        <v>1483</v>
      </c>
      <c r="M195" s="1" t="s">
        <v>1484</v>
      </c>
      <c r="N195" s="9" t="n">
        <v>45196</v>
      </c>
      <c r="O195" s="10" t="s">
        <v>1522</v>
      </c>
      <c r="P195" s="1" t="n">
        <v>2680</v>
      </c>
      <c r="Q195" s="1" t="n">
        <v>160</v>
      </c>
    </row>
    <row r="196" customFormat="false" ht="18.7" hidden="false" customHeight="true" outlineLevel="0" collapsed="false">
      <c r="A196" s="1" t="n">
        <v>195</v>
      </c>
      <c r="B196" s="7" t="str">
        <f aca="false">HYPERLINK("https://mncourtfraud.com/file/AIO-40.zip","AIO-40.zip")</f>
        <v>AIO-40.zip</v>
      </c>
      <c r="C196" s="8" t="str">
        <f aca="false">HYPERLINK("https://mncourtfraud.com/file/27-CR-19-17539.pdf","27-CR-19-17539")</f>
        <v>27-CR-19-17539</v>
      </c>
      <c r="D196" s="3" t="s">
        <v>586</v>
      </c>
      <c r="E196" s="9" t="n">
        <v>45197</v>
      </c>
      <c r="F196" s="8" t="str">
        <f aca="false">HYPERLINK("https://mncourtfraud.com/file/MCRO_27-CR-19-17539_Order-Evaluation for Competency to Proceed (Rule 20.01)_2023-09-28_20240430091930.pdf","MCRO_27-CR-19-17539_Order-Evaluation for Competency to Proceed (Rule 20.01)_2023-09-28_20240430091930.pdf")</f>
        <v>MCRO_27-CR-19-17539_Order-Evaluation for Competency to Proceed (Rule 20.01)_2023-09-28_20240430091930.pdf</v>
      </c>
      <c r="G196" s="8" t="str">
        <f aca="false">HYPERLINK("https://mncourtfraud.com/file/4e26be5dda4d94ce1a5ebb00c2877d00d5c2e7a9e31d68e3438cb2bc2677c795.png","4e26be5dda4d94ce1a5ebb00c2877d00d5c2e7a9e31d68e3438cb2bc2677c795")</f>
        <v>4e26be5dda4d94ce1a5ebb00c2877d00d5c2e7a9e31d68e3438cb2bc2677c795</v>
      </c>
      <c r="H196" s="1" t="s">
        <v>1460</v>
      </c>
      <c r="I196" s="3" t="s">
        <v>1521</v>
      </c>
      <c r="J196" s="1" t="s">
        <v>1482</v>
      </c>
      <c r="K196" s="3" t="n">
        <v>4253</v>
      </c>
      <c r="L196" s="15" t="s">
        <v>1483</v>
      </c>
      <c r="M196" s="1" t="s">
        <v>1484</v>
      </c>
      <c r="N196" s="9" t="n">
        <v>45196</v>
      </c>
      <c r="O196" s="10" t="s">
        <v>1522</v>
      </c>
      <c r="P196" s="1" t="n">
        <v>2680</v>
      </c>
      <c r="Q196" s="1" t="n">
        <v>160</v>
      </c>
    </row>
    <row r="197" customFormat="false" ht="18.7" hidden="false" customHeight="true" outlineLevel="0" collapsed="false">
      <c r="A197" s="1" t="n">
        <v>196</v>
      </c>
      <c r="B197" s="7" t="str">
        <f aca="false">HYPERLINK("https://mncourtfraud.com/file/AIO-40.zip","AIO-40.zip")</f>
        <v>AIO-40.zip</v>
      </c>
      <c r="C197" s="8" t="str">
        <f aca="false">HYPERLINK("https://mncourtfraud.com/file/27-CR-19-1916.pdf","27-CR-19-1916")</f>
        <v>27-CR-19-1916</v>
      </c>
      <c r="D197" s="3" t="s">
        <v>586</v>
      </c>
      <c r="E197" s="9" t="n">
        <v>45197</v>
      </c>
      <c r="F197" s="8" t="str">
        <f aca="false">HYPERLINK("https://mncourtfraud.com/file/MCRO_27-CR-19-1916_Order-Evaluation for Competency to Proceed (Rule 20.01)_2023-09-28_20240430091211.pdf","MCRO_27-CR-19-1916_Order-Evaluation for Competency to Proceed (Rule 20.01)_2023-09-28_20240430091211.pdf")</f>
        <v>MCRO_27-CR-19-1916_Order-Evaluation for Competency to Proceed (Rule 20.01)_2023-09-28_20240430091211.pdf</v>
      </c>
      <c r="G197" s="8" t="str">
        <f aca="false">HYPERLINK("https://mncourtfraud.com/file/4e26be5dda4d94ce1a5ebb00c2877d00d5c2e7a9e31d68e3438cb2bc2677c795.png","4e26be5dda4d94ce1a5ebb00c2877d00d5c2e7a9e31d68e3438cb2bc2677c795")</f>
        <v>4e26be5dda4d94ce1a5ebb00c2877d00d5c2e7a9e31d68e3438cb2bc2677c795</v>
      </c>
      <c r="H197" s="1" t="s">
        <v>1460</v>
      </c>
      <c r="I197" s="3" t="s">
        <v>1521</v>
      </c>
      <c r="J197" s="1" t="s">
        <v>1482</v>
      </c>
      <c r="K197" s="3" t="n">
        <v>4253</v>
      </c>
      <c r="L197" s="15" t="s">
        <v>1483</v>
      </c>
      <c r="M197" s="1" t="s">
        <v>1484</v>
      </c>
      <c r="N197" s="9" t="n">
        <v>45196</v>
      </c>
      <c r="O197" s="10" t="s">
        <v>1522</v>
      </c>
      <c r="P197" s="1" t="n">
        <v>2680</v>
      </c>
      <c r="Q197" s="1" t="n">
        <v>160</v>
      </c>
    </row>
    <row r="198" customFormat="false" ht="18.7" hidden="false" customHeight="true" outlineLevel="0" collapsed="false">
      <c r="A198" s="1" t="n">
        <v>197</v>
      </c>
      <c r="B198" s="7" t="str">
        <f aca="false">HYPERLINK("https://mncourtfraud.com/file/AIO-40.zip","AIO-40.zip")</f>
        <v>AIO-40.zip</v>
      </c>
      <c r="C198" s="8" t="str">
        <f aca="false">HYPERLINK("https://mncourtfraud.com/file/27-CR-19-3539.pdf","27-CR-19-3539")</f>
        <v>27-CR-19-3539</v>
      </c>
      <c r="D198" s="3" t="s">
        <v>586</v>
      </c>
      <c r="E198" s="9" t="n">
        <v>45197</v>
      </c>
      <c r="F198" s="8" t="str">
        <f aca="false">HYPERLINK("https://mncourtfraud.com/file/MCRO_27-CR-19-3539_Order-Evaluation for Competency to Proceed (Rule 20.01)_2023-09-28_20240430091323.pdf","MCRO_27-CR-19-3539_Order-Evaluation for Competency to Proceed (Rule 20.01)_2023-09-28_20240430091323.pdf")</f>
        <v>MCRO_27-CR-19-3539_Order-Evaluation for Competency to Proceed (Rule 20.01)_2023-09-28_20240430091323.pdf</v>
      </c>
      <c r="G198" s="8" t="str">
        <f aca="false">HYPERLINK("https://mncourtfraud.com/file/4e26be5dda4d94ce1a5ebb00c2877d00d5c2e7a9e31d68e3438cb2bc2677c795.png","4e26be5dda4d94ce1a5ebb00c2877d00d5c2e7a9e31d68e3438cb2bc2677c795")</f>
        <v>4e26be5dda4d94ce1a5ebb00c2877d00d5c2e7a9e31d68e3438cb2bc2677c795</v>
      </c>
      <c r="H198" s="1" t="s">
        <v>1460</v>
      </c>
      <c r="I198" s="3" t="s">
        <v>1521</v>
      </c>
      <c r="J198" s="1" t="s">
        <v>1482</v>
      </c>
      <c r="K198" s="3" t="n">
        <v>4253</v>
      </c>
      <c r="L198" s="15" t="s">
        <v>1483</v>
      </c>
      <c r="M198" s="1" t="s">
        <v>1484</v>
      </c>
      <c r="N198" s="9" t="n">
        <v>45196</v>
      </c>
      <c r="O198" s="10" t="s">
        <v>1522</v>
      </c>
      <c r="P198" s="1" t="n">
        <v>2680</v>
      </c>
      <c r="Q198" s="1" t="n">
        <v>160</v>
      </c>
    </row>
    <row r="199" customFormat="false" ht="18.7" hidden="false" customHeight="true" outlineLevel="0" collapsed="false">
      <c r="A199" s="1" t="n">
        <v>198</v>
      </c>
      <c r="B199" s="7" t="str">
        <f aca="false">HYPERLINK("https://mncourtfraud.com/file/AIO-40.zip","AIO-40.zip")</f>
        <v>AIO-40.zip</v>
      </c>
      <c r="C199" s="8" t="str">
        <f aca="false">HYPERLINK("https://mncourtfraud.com/file/27-CR-21-22058.pdf","27-CR-21-22058")</f>
        <v>27-CR-21-22058</v>
      </c>
      <c r="D199" s="3" t="s">
        <v>586</v>
      </c>
      <c r="E199" s="9" t="n">
        <v>45197</v>
      </c>
      <c r="F199" s="8" t="str">
        <f aca="false">HYPERLINK("https://mncourtfraud.com/file/MCRO_27-CR-21-22058_Order-Evaluation for Competency to Proceed (Rule 20.01)_2023-09-28_20240430083547.pdf","MCRO_27-CR-21-22058_Order-Evaluation for Competency to Proceed (Rule 20.01)_2023-09-28_20240430083547.pdf")</f>
        <v>MCRO_27-CR-21-22058_Order-Evaluation for Competency to Proceed (Rule 20.01)_2023-09-28_20240430083547.pdf</v>
      </c>
      <c r="G199" s="8" t="str">
        <f aca="false">HYPERLINK("https://mncourtfraud.com/file/4e26be5dda4d94ce1a5ebb00c2877d00d5c2e7a9e31d68e3438cb2bc2677c795.png","4e26be5dda4d94ce1a5ebb00c2877d00d5c2e7a9e31d68e3438cb2bc2677c795")</f>
        <v>4e26be5dda4d94ce1a5ebb00c2877d00d5c2e7a9e31d68e3438cb2bc2677c795</v>
      </c>
      <c r="H199" s="1" t="s">
        <v>1460</v>
      </c>
      <c r="I199" s="3" t="s">
        <v>1521</v>
      </c>
      <c r="J199" s="1" t="s">
        <v>1482</v>
      </c>
      <c r="K199" s="3" t="n">
        <v>4253</v>
      </c>
      <c r="L199" s="15" t="s">
        <v>1483</v>
      </c>
      <c r="M199" s="1" t="s">
        <v>1484</v>
      </c>
      <c r="N199" s="9" t="n">
        <v>45196</v>
      </c>
      <c r="O199" s="10" t="s">
        <v>1522</v>
      </c>
      <c r="P199" s="1" t="n">
        <v>2680</v>
      </c>
      <c r="Q199" s="1" t="n">
        <v>160</v>
      </c>
    </row>
    <row r="200" customFormat="false" ht="18.7" hidden="false" customHeight="true" outlineLevel="0" collapsed="false">
      <c r="A200" s="1" t="n">
        <v>199</v>
      </c>
      <c r="E200" s="9"/>
      <c r="K200" s="3"/>
      <c r="L200" s="15"/>
      <c r="N200" s="9"/>
      <c r="O200" s="10"/>
      <c r="P200" s="1"/>
      <c r="Q200" s="1"/>
    </row>
    <row r="201" customFormat="false" ht="18.7" hidden="false" customHeight="true" outlineLevel="0" collapsed="false">
      <c r="A201" s="1" t="n">
        <v>200</v>
      </c>
      <c r="B201" s="7" t="str">
        <f aca="false">HYPERLINK("https://mncourtfraud.com/file/AIO-41.zip","AIO-41.zip")</f>
        <v>AIO-41.zip</v>
      </c>
      <c r="C201" s="8" t="str">
        <f aca="false">HYPERLINK("https://mncourtfraud.com/file/27-CR-18-18391.pdf","27-CR-18-18391")</f>
        <v>27-CR-18-18391</v>
      </c>
      <c r="D201" s="3" t="s">
        <v>586</v>
      </c>
      <c r="E201" s="9" t="n">
        <v>45020</v>
      </c>
      <c r="F201" s="8" t="str">
        <f aca="false">HYPERLINK("https://mncourtfraud.com/file/MCRO_27-CR-18-18391_Order-Evaluation for Competency to Proceed (Rule 20.01)_2023-04-04_20240430092723.pdf","MCRO_27-CR-18-18391_Order-Evaluation for Competency to Proceed (Rule 20.01)_2023-04-04_20240430092723.pdf")</f>
        <v>MCRO_27-CR-18-18391_Order-Evaluation for Competency to Proceed (Rule 20.01)_2023-04-04_20240430092723.pdf</v>
      </c>
      <c r="G201" s="8" t="str">
        <f aca="false">HYPERLINK("https://mncourtfraud.com/file/655b39dafe6eaf00020d847b823164f905d0ae27dae577bb9d2a60656ebe8708.png","655b39dafe6eaf00020d847b823164f905d0ae27dae577bb9d2a60656ebe8708")</f>
        <v>655b39dafe6eaf00020d847b823164f905d0ae27dae577bb9d2a60656ebe8708</v>
      </c>
      <c r="H201" s="1" t="s">
        <v>1460</v>
      </c>
      <c r="I201" s="3" t="s">
        <v>1523</v>
      </c>
      <c r="J201" s="1" t="s">
        <v>1482</v>
      </c>
      <c r="K201" s="3" t="n">
        <v>3595</v>
      </c>
      <c r="L201" s="15" t="s">
        <v>1483</v>
      </c>
      <c r="M201" s="1" t="s">
        <v>1484</v>
      </c>
      <c r="N201" s="9" t="n">
        <v>45020</v>
      </c>
      <c r="O201" s="10" t="s">
        <v>1524</v>
      </c>
      <c r="P201" s="1" t="n">
        <v>2390</v>
      </c>
      <c r="Q201" s="1" t="n">
        <v>140</v>
      </c>
    </row>
    <row r="202" customFormat="false" ht="18.7" hidden="false" customHeight="true" outlineLevel="0" collapsed="false">
      <c r="A202" s="1" t="n">
        <v>201</v>
      </c>
      <c r="B202" s="7" t="str">
        <f aca="false">HYPERLINK("https://mncourtfraud.com/file/AIO-41.zip","AIO-41.zip")</f>
        <v>AIO-41.zip</v>
      </c>
      <c r="C202" s="8" t="str">
        <f aca="false">HYPERLINK("https://mncourtfraud.com/file/27-CR-19-17539.pdf","27-CR-19-17539")</f>
        <v>27-CR-19-17539</v>
      </c>
      <c r="D202" s="3" t="s">
        <v>586</v>
      </c>
      <c r="E202" s="9" t="n">
        <v>45020</v>
      </c>
      <c r="F202" s="8" t="str">
        <f aca="false">HYPERLINK("https://mncourtfraud.com/file/MCRO_27-CR-19-17539_Order-Evaluation for Competency to Proceed (Rule 20.01)_2023-04-04_20240430091934.pdf","MCRO_27-CR-19-17539_Order-Evaluation for Competency to Proceed (Rule 20.01)_2023-04-04_20240430091934.pdf")</f>
        <v>MCRO_27-CR-19-17539_Order-Evaluation for Competency to Proceed (Rule 20.01)_2023-04-04_20240430091934.pdf</v>
      </c>
      <c r="G202" s="8" t="str">
        <f aca="false">HYPERLINK("https://mncourtfraud.com/file/655b39dafe6eaf00020d847b823164f905d0ae27dae577bb9d2a60656ebe8708.png","655b39dafe6eaf00020d847b823164f905d0ae27dae577bb9d2a60656ebe8708")</f>
        <v>655b39dafe6eaf00020d847b823164f905d0ae27dae577bb9d2a60656ebe8708</v>
      </c>
      <c r="H202" s="1" t="s">
        <v>1460</v>
      </c>
      <c r="I202" s="3" t="s">
        <v>1523</v>
      </c>
      <c r="J202" s="1" t="s">
        <v>1482</v>
      </c>
      <c r="K202" s="3" t="n">
        <v>3595</v>
      </c>
      <c r="L202" s="15" t="s">
        <v>1483</v>
      </c>
      <c r="M202" s="1" t="s">
        <v>1484</v>
      </c>
      <c r="N202" s="9" t="n">
        <v>45020</v>
      </c>
      <c r="O202" s="10" t="s">
        <v>1524</v>
      </c>
      <c r="P202" s="1" t="n">
        <v>2390</v>
      </c>
      <c r="Q202" s="1" t="n">
        <v>140</v>
      </c>
    </row>
    <row r="203" customFormat="false" ht="18.7" hidden="false" customHeight="true" outlineLevel="0" collapsed="false">
      <c r="A203" s="1" t="n">
        <v>202</v>
      </c>
      <c r="B203" s="7" t="str">
        <f aca="false">HYPERLINK("https://mncourtfraud.com/file/AIO-41.zip","AIO-41.zip")</f>
        <v>AIO-41.zip</v>
      </c>
      <c r="C203" s="8" t="str">
        <f aca="false">HYPERLINK("https://mncourtfraud.com/file/27-CR-19-1916.pdf","27-CR-19-1916")</f>
        <v>27-CR-19-1916</v>
      </c>
      <c r="D203" s="3" t="s">
        <v>586</v>
      </c>
      <c r="E203" s="9" t="n">
        <v>45020</v>
      </c>
      <c r="F203" s="8" t="str">
        <f aca="false">HYPERLINK("https://mncourtfraud.com/file/MCRO_27-CR-19-1916_Order-Evaluation for Competency to Proceed (Rule 20.01)_2023-04-04_20240430091215.pdf","MCRO_27-CR-19-1916_Order-Evaluation for Competency to Proceed (Rule 20.01)_2023-04-04_20240430091215.pdf")</f>
        <v>MCRO_27-CR-19-1916_Order-Evaluation for Competency to Proceed (Rule 20.01)_2023-04-04_20240430091215.pdf</v>
      </c>
      <c r="G203" s="8" t="str">
        <f aca="false">HYPERLINK("https://mncourtfraud.com/file/655b39dafe6eaf00020d847b823164f905d0ae27dae577bb9d2a60656ebe8708.png","655b39dafe6eaf00020d847b823164f905d0ae27dae577bb9d2a60656ebe8708")</f>
        <v>655b39dafe6eaf00020d847b823164f905d0ae27dae577bb9d2a60656ebe8708</v>
      </c>
      <c r="H203" s="1" t="s">
        <v>1460</v>
      </c>
      <c r="I203" s="3" t="s">
        <v>1523</v>
      </c>
      <c r="J203" s="1" t="s">
        <v>1482</v>
      </c>
      <c r="K203" s="3" t="n">
        <v>3595</v>
      </c>
      <c r="L203" s="15" t="s">
        <v>1483</v>
      </c>
      <c r="M203" s="1" t="s">
        <v>1484</v>
      </c>
      <c r="N203" s="9" t="n">
        <v>45020</v>
      </c>
      <c r="O203" s="10" t="s">
        <v>1524</v>
      </c>
      <c r="P203" s="1" t="n">
        <v>2390</v>
      </c>
      <c r="Q203" s="1" t="n">
        <v>140</v>
      </c>
    </row>
    <row r="204" customFormat="false" ht="18.7" hidden="false" customHeight="true" outlineLevel="0" collapsed="false">
      <c r="A204" s="1" t="n">
        <v>203</v>
      </c>
      <c r="B204" s="7" t="str">
        <f aca="false">HYPERLINK("https://mncourtfraud.com/file/AIO-41.zip","AIO-41.zip")</f>
        <v>AIO-41.zip</v>
      </c>
      <c r="C204" s="8" t="str">
        <f aca="false">HYPERLINK("https://mncourtfraud.com/file/27-CR-19-3539.pdf","27-CR-19-3539")</f>
        <v>27-CR-19-3539</v>
      </c>
      <c r="D204" s="3" t="s">
        <v>586</v>
      </c>
      <c r="E204" s="9" t="n">
        <v>45020</v>
      </c>
      <c r="F204" s="8" t="str">
        <f aca="false">HYPERLINK("https://mncourtfraud.com/file/MCRO_27-CR-19-3539_Order-Evaluation for Competency to Proceed (Rule 20.01)_2023-04-04_20240430091327.pdf","MCRO_27-CR-19-3539_Order-Evaluation for Competency to Proceed (Rule 20.01)_2023-04-04_20240430091327.pdf")</f>
        <v>MCRO_27-CR-19-3539_Order-Evaluation for Competency to Proceed (Rule 20.01)_2023-04-04_20240430091327.pdf</v>
      </c>
      <c r="G204" s="8" t="str">
        <f aca="false">HYPERLINK("https://mncourtfraud.com/file/655b39dafe6eaf00020d847b823164f905d0ae27dae577bb9d2a60656ebe8708.png","655b39dafe6eaf00020d847b823164f905d0ae27dae577bb9d2a60656ebe8708")</f>
        <v>655b39dafe6eaf00020d847b823164f905d0ae27dae577bb9d2a60656ebe8708</v>
      </c>
      <c r="H204" s="1" t="s">
        <v>1460</v>
      </c>
      <c r="I204" s="3" t="s">
        <v>1523</v>
      </c>
      <c r="J204" s="1" t="s">
        <v>1482</v>
      </c>
      <c r="K204" s="3" t="n">
        <v>3595</v>
      </c>
      <c r="L204" s="15" t="s">
        <v>1483</v>
      </c>
      <c r="M204" s="1" t="s">
        <v>1484</v>
      </c>
      <c r="N204" s="9" t="n">
        <v>45020</v>
      </c>
      <c r="O204" s="10" t="s">
        <v>1524</v>
      </c>
      <c r="P204" s="1" t="n">
        <v>2390</v>
      </c>
      <c r="Q204" s="1" t="n">
        <v>140</v>
      </c>
    </row>
    <row r="205" customFormat="false" ht="18.7" hidden="false" customHeight="true" outlineLevel="0" collapsed="false">
      <c r="A205" s="1" t="n">
        <v>204</v>
      </c>
      <c r="B205" s="7" t="str">
        <f aca="false">HYPERLINK("https://mncourtfraud.com/file/AIO-41.zip","AIO-41.zip")</f>
        <v>AIO-41.zip</v>
      </c>
      <c r="C205" s="8" t="str">
        <f aca="false">HYPERLINK("https://mncourtfraud.com/file/27-CR-21-22058.pdf","27-CR-21-22058")</f>
        <v>27-CR-21-22058</v>
      </c>
      <c r="D205" s="3" t="s">
        <v>586</v>
      </c>
      <c r="E205" s="9" t="n">
        <v>45020</v>
      </c>
      <c r="F205" s="8" t="str">
        <f aca="false">HYPERLINK("https://mncourtfraud.com/file/MCRO_27-CR-21-22058_Order-Evaluation for Competency to Proceed (Rule 20.01)_2023-04-04_20240430083551.pdf","MCRO_27-CR-21-22058_Order-Evaluation for Competency to Proceed (Rule 20.01)_2023-04-04_20240430083551.pdf")</f>
        <v>MCRO_27-CR-21-22058_Order-Evaluation for Competency to Proceed (Rule 20.01)_2023-04-04_20240430083551.pdf</v>
      </c>
      <c r="G205" s="8" t="str">
        <f aca="false">HYPERLINK("https://mncourtfraud.com/file/655b39dafe6eaf00020d847b823164f905d0ae27dae577bb9d2a60656ebe8708.png","655b39dafe6eaf00020d847b823164f905d0ae27dae577bb9d2a60656ebe8708")</f>
        <v>655b39dafe6eaf00020d847b823164f905d0ae27dae577bb9d2a60656ebe8708</v>
      </c>
      <c r="H205" s="1" t="s">
        <v>1460</v>
      </c>
      <c r="I205" s="3" t="s">
        <v>1523</v>
      </c>
      <c r="J205" s="1" t="s">
        <v>1482</v>
      </c>
      <c r="K205" s="3" t="n">
        <v>3595</v>
      </c>
      <c r="L205" s="15" t="s">
        <v>1483</v>
      </c>
      <c r="M205" s="1" t="s">
        <v>1484</v>
      </c>
      <c r="N205" s="9" t="n">
        <v>45020</v>
      </c>
      <c r="O205" s="10" t="s">
        <v>1524</v>
      </c>
      <c r="P205" s="1" t="n">
        <v>2390</v>
      </c>
      <c r="Q205" s="1" t="n">
        <v>140</v>
      </c>
    </row>
    <row r="206" customFormat="false" ht="18.7" hidden="false" customHeight="true" outlineLevel="0" collapsed="false">
      <c r="A206" s="1" t="n">
        <v>205</v>
      </c>
      <c r="E206" s="9"/>
      <c r="K206" s="3"/>
      <c r="L206" s="15"/>
      <c r="N206" s="9"/>
      <c r="O206" s="10"/>
      <c r="P206" s="1"/>
      <c r="Q206" s="1"/>
    </row>
    <row r="207" customFormat="false" ht="18.7" hidden="false" customHeight="true" outlineLevel="0" collapsed="false">
      <c r="A207" s="1" t="n">
        <v>206</v>
      </c>
      <c r="B207" s="7" t="str">
        <f aca="false">HYPERLINK("https://mncourtfraud.com/file/AIO-42.zip","AIO-42.zip")</f>
        <v>AIO-42.zip</v>
      </c>
      <c r="C207" s="8" t="str">
        <f aca="false">HYPERLINK("https://mncourtfraud.com/file/27-CR-18-18391.pdf","27-CR-18-18391")</f>
        <v>27-CR-18-18391</v>
      </c>
      <c r="D207" s="3" t="s">
        <v>586</v>
      </c>
      <c r="E207" s="9" t="n">
        <v>45083</v>
      </c>
      <c r="F207" s="8" t="str">
        <f aca="false">HYPERLINK("https://mncourtfraud.com/file/MCRO_27-CR-18-18391_Finding of Incompetency and Order_2023-06-06_20240430092721.pdf","MCRO_27-CR-18-18391_Finding of Incompetency and Order_2023-06-06_20240430092721.pdf")</f>
        <v>MCRO_27-CR-18-18391_Finding of Incompetency and Order_2023-06-06_20240430092721.pdf</v>
      </c>
      <c r="G207" s="8" t="str">
        <f aca="false">HYPERLINK("https://mncourtfraud.com/file/833f5d4a5d5c92595fe37c7b36dbd41157370d98d60966cfe0b1c835ef75f6bd.png","833f5d4a5d5c92595fe37c7b36dbd41157370d98d60966cfe0b1c835ef75f6bd")</f>
        <v>833f5d4a5d5c92595fe37c7b36dbd41157370d98d60966cfe0b1c835ef75f6bd</v>
      </c>
      <c r="H207" s="1" t="s">
        <v>1460</v>
      </c>
      <c r="I207" s="3" t="s">
        <v>1519</v>
      </c>
      <c r="J207" s="1" t="s">
        <v>1482</v>
      </c>
      <c r="K207" s="3" t="n">
        <v>3592</v>
      </c>
      <c r="L207" s="15" t="s">
        <v>1496</v>
      </c>
      <c r="M207" s="1" t="s">
        <v>1484</v>
      </c>
      <c r="N207" s="9" t="n">
        <v>45083</v>
      </c>
      <c r="O207" s="10" t="s">
        <v>1520</v>
      </c>
      <c r="P207" s="1" t="n">
        <v>1500</v>
      </c>
      <c r="Q207" s="1" t="n">
        <v>160</v>
      </c>
    </row>
    <row r="208" customFormat="false" ht="18.7" hidden="false" customHeight="true" outlineLevel="0" collapsed="false">
      <c r="A208" s="1" t="n">
        <v>207</v>
      </c>
      <c r="B208" s="7" t="str">
        <f aca="false">HYPERLINK("https://mncourtfraud.com/file/AIO-42.zip","AIO-42.zip")</f>
        <v>AIO-42.zip</v>
      </c>
      <c r="C208" s="8" t="str">
        <f aca="false">HYPERLINK("https://mncourtfraud.com/file/27-CR-19-17539.pdf","27-CR-19-17539")</f>
        <v>27-CR-19-17539</v>
      </c>
      <c r="D208" s="3" t="s">
        <v>586</v>
      </c>
      <c r="E208" s="9" t="n">
        <v>45083</v>
      </c>
      <c r="F208" s="8" t="str">
        <f aca="false">HYPERLINK("https://mncourtfraud.com/file/MCRO_27-CR-19-17539_Finding of Incompetency and Order_2023-06-06_20240430091932.pdf","MCRO_27-CR-19-17539_Finding of Incompetency and Order_2023-06-06_20240430091932.pdf")</f>
        <v>MCRO_27-CR-19-17539_Finding of Incompetency and Order_2023-06-06_20240430091932.pdf</v>
      </c>
      <c r="G208" s="8" t="str">
        <f aca="false">HYPERLINK("https://mncourtfraud.com/file/833f5d4a5d5c92595fe37c7b36dbd41157370d98d60966cfe0b1c835ef75f6bd.png","833f5d4a5d5c92595fe37c7b36dbd41157370d98d60966cfe0b1c835ef75f6bd")</f>
        <v>833f5d4a5d5c92595fe37c7b36dbd41157370d98d60966cfe0b1c835ef75f6bd</v>
      </c>
      <c r="H208" s="1" t="s">
        <v>1460</v>
      </c>
      <c r="I208" s="3" t="s">
        <v>1519</v>
      </c>
      <c r="J208" s="1" t="s">
        <v>1482</v>
      </c>
      <c r="K208" s="3" t="n">
        <v>3592</v>
      </c>
      <c r="L208" s="15" t="s">
        <v>1496</v>
      </c>
      <c r="M208" s="1" t="s">
        <v>1484</v>
      </c>
      <c r="N208" s="9" t="n">
        <v>45083</v>
      </c>
      <c r="O208" s="10" t="s">
        <v>1520</v>
      </c>
      <c r="P208" s="1" t="n">
        <v>1500</v>
      </c>
      <c r="Q208" s="1" t="n">
        <v>160</v>
      </c>
    </row>
    <row r="209" customFormat="false" ht="18.7" hidden="false" customHeight="true" outlineLevel="0" collapsed="false">
      <c r="A209" s="1" t="n">
        <v>208</v>
      </c>
      <c r="B209" s="7" t="str">
        <f aca="false">HYPERLINK("https://mncourtfraud.com/file/AIO-42.zip","AIO-42.zip")</f>
        <v>AIO-42.zip</v>
      </c>
      <c r="C209" s="8" t="str">
        <f aca="false">HYPERLINK("https://mncourtfraud.com/file/27-CR-19-1916.pdf","27-CR-19-1916")</f>
        <v>27-CR-19-1916</v>
      </c>
      <c r="D209" s="3" t="s">
        <v>586</v>
      </c>
      <c r="E209" s="9" t="n">
        <v>45083</v>
      </c>
      <c r="F209" s="8" t="str">
        <f aca="false">HYPERLINK("https://mncourtfraud.com/file/MCRO_27-CR-19-1916_Finding of Incompetency and Order_2023-06-06_20240430091213.pdf","MCRO_27-CR-19-1916_Finding of Incompetency and Order_2023-06-06_20240430091213.pdf")</f>
        <v>MCRO_27-CR-19-1916_Finding of Incompetency and Order_2023-06-06_20240430091213.pdf</v>
      </c>
      <c r="G209" s="8" t="str">
        <f aca="false">HYPERLINK("https://mncourtfraud.com/file/833f5d4a5d5c92595fe37c7b36dbd41157370d98d60966cfe0b1c835ef75f6bd.png","833f5d4a5d5c92595fe37c7b36dbd41157370d98d60966cfe0b1c835ef75f6bd")</f>
        <v>833f5d4a5d5c92595fe37c7b36dbd41157370d98d60966cfe0b1c835ef75f6bd</v>
      </c>
      <c r="H209" s="1" t="s">
        <v>1460</v>
      </c>
      <c r="I209" s="3" t="s">
        <v>1519</v>
      </c>
      <c r="J209" s="1" t="s">
        <v>1482</v>
      </c>
      <c r="K209" s="3" t="n">
        <v>3592</v>
      </c>
      <c r="L209" s="15" t="s">
        <v>1496</v>
      </c>
      <c r="M209" s="1" t="s">
        <v>1484</v>
      </c>
      <c r="N209" s="9" t="n">
        <v>45083</v>
      </c>
      <c r="O209" s="10" t="s">
        <v>1520</v>
      </c>
      <c r="P209" s="1" t="n">
        <v>1500</v>
      </c>
      <c r="Q209" s="1" t="n">
        <v>160</v>
      </c>
    </row>
    <row r="210" customFormat="false" ht="18.7" hidden="false" customHeight="true" outlineLevel="0" collapsed="false">
      <c r="A210" s="1" t="n">
        <v>209</v>
      </c>
      <c r="B210" s="7" t="str">
        <f aca="false">HYPERLINK("https://mncourtfraud.com/file/AIO-42.zip","AIO-42.zip")</f>
        <v>AIO-42.zip</v>
      </c>
      <c r="C210" s="8" t="str">
        <f aca="false">HYPERLINK("https://mncourtfraud.com/file/27-CR-19-3539.pdf","27-CR-19-3539")</f>
        <v>27-CR-19-3539</v>
      </c>
      <c r="D210" s="3" t="s">
        <v>586</v>
      </c>
      <c r="E210" s="9" t="n">
        <v>45083</v>
      </c>
      <c r="F210" s="8" t="str">
        <f aca="false">HYPERLINK("https://mncourtfraud.com/file/MCRO_27-CR-19-3539_Finding of Incompetency and Order_2023-06-06_20240430091325.pdf","MCRO_27-CR-19-3539_Finding of Incompetency and Order_2023-06-06_20240430091325.pdf")</f>
        <v>MCRO_27-CR-19-3539_Finding of Incompetency and Order_2023-06-06_20240430091325.pdf</v>
      </c>
      <c r="G210" s="8" t="str">
        <f aca="false">HYPERLINK("https://mncourtfraud.com/file/833f5d4a5d5c92595fe37c7b36dbd41157370d98d60966cfe0b1c835ef75f6bd.png","833f5d4a5d5c92595fe37c7b36dbd41157370d98d60966cfe0b1c835ef75f6bd")</f>
        <v>833f5d4a5d5c92595fe37c7b36dbd41157370d98d60966cfe0b1c835ef75f6bd</v>
      </c>
      <c r="H210" s="1" t="s">
        <v>1460</v>
      </c>
      <c r="I210" s="3" t="s">
        <v>1519</v>
      </c>
      <c r="J210" s="1" t="s">
        <v>1482</v>
      </c>
      <c r="K210" s="3" t="n">
        <v>3592</v>
      </c>
      <c r="L210" s="15" t="s">
        <v>1496</v>
      </c>
      <c r="M210" s="1" t="s">
        <v>1484</v>
      </c>
      <c r="N210" s="9" t="n">
        <v>45083</v>
      </c>
      <c r="O210" s="10" t="s">
        <v>1520</v>
      </c>
      <c r="P210" s="1" t="n">
        <v>1500</v>
      </c>
      <c r="Q210" s="1" t="n">
        <v>160</v>
      </c>
    </row>
    <row r="211" customFormat="false" ht="18.7" hidden="false" customHeight="true" outlineLevel="0" collapsed="false">
      <c r="A211" s="1" t="n">
        <v>210</v>
      </c>
      <c r="B211" s="7" t="str">
        <f aca="false">HYPERLINK("https://mncourtfraud.com/file/AIO-42.zip","AIO-42.zip")</f>
        <v>AIO-42.zip</v>
      </c>
      <c r="C211" s="8" t="str">
        <f aca="false">HYPERLINK("https://mncourtfraud.com/file/27-CR-21-22058.pdf","27-CR-21-22058")</f>
        <v>27-CR-21-22058</v>
      </c>
      <c r="D211" s="3" t="s">
        <v>586</v>
      </c>
      <c r="E211" s="9" t="n">
        <v>45083</v>
      </c>
      <c r="F211" s="8" t="str">
        <f aca="false">HYPERLINK("https://mncourtfraud.com/file/MCRO_27-CR-21-22058_Finding of Incompetency and Order_2023-06-06_20240430083549.pdf","MCRO_27-CR-21-22058_Finding of Incompetency and Order_2023-06-06_20240430083549.pdf")</f>
        <v>MCRO_27-CR-21-22058_Finding of Incompetency and Order_2023-06-06_20240430083549.pdf</v>
      </c>
      <c r="G211" s="8" t="str">
        <f aca="false">HYPERLINK("https://mncourtfraud.com/file/833f5d4a5d5c92595fe37c7b36dbd41157370d98d60966cfe0b1c835ef75f6bd.png","833f5d4a5d5c92595fe37c7b36dbd41157370d98d60966cfe0b1c835ef75f6bd")</f>
        <v>833f5d4a5d5c92595fe37c7b36dbd41157370d98d60966cfe0b1c835ef75f6bd</v>
      </c>
      <c r="H211" s="1" t="s">
        <v>1460</v>
      </c>
      <c r="I211" s="3" t="s">
        <v>1519</v>
      </c>
      <c r="J211" s="1" t="s">
        <v>1482</v>
      </c>
      <c r="K211" s="3" t="n">
        <v>3592</v>
      </c>
      <c r="L211" s="15" t="s">
        <v>1496</v>
      </c>
      <c r="M211" s="1" t="s">
        <v>1484</v>
      </c>
      <c r="N211" s="9" t="n">
        <v>45083</v>
      </c>
      <c r="O211" s="10" t="s">
        <v>1520</v>
      </c>
      <c r="P211" s="1" t="n">
        <v>1500</v>
      </c>
      <c r="Q211" s="1" t="n">
        <v>160</v>
      </c>
    </row>
    <row r="212" customFormat="false" ht="18.7" hidden="false" customHeight="true" outlineLevel="0" collapsed="false">
      <c r="A212" s="1" t="n">
        <v>211</v>
      </c>
      <c r="E212" s="9"/>
      <c r="K212" s="3"/>
      <c r="L212" s="15"/>
      <c r="N212" s="9"/>
      <c r="O212" s="10"/>
      <c r="P212" s="1"/>
      <c r="Q212" s="1"/>
    </row>
    <row r="213" customFormat="false" ht="18.7" hidden="false" customHeight="true" outlineLevel="0" collapsed="false">
      <c r="A213" s="1" t="n">
        <v>212</v>
      </c>
      <c r="B213" s="7" t="str">
        <f aca="false">HYPERLINK("https://mncourtfraud.com/file/AIO-43.zip","AIO-43.zip")</f>
        <v>AIO-43.zip</v>
      </c>
      <c r="C213" s="8" t="str">
        <f aca="false">HYPERLINK("https://mncourtfraud.com/file/27-CR-18-18391.pdf","27-CR-18-18391")</f>
        <v>27-CR-18-18391</v>
      </c>
      <c r="D213" s="3" t="s">
        <v>586</v>
      </c>
      <c r="E213" s="9" t="n">
        <v>45371</v>
      </c>
      <c r="F213" s="8" t="str">
        <f aca="false">HYPERLINK("https://mncourtfraud.com/file/MCRO_27-CR-18-18391_Finding of Incompetency and Order_2024-03-20_20240430092713.pdf","MCRO_27-CR-18-18391_Finding of Incompetency and Order_2024-03-20_20240430092713.pdf")</f>
        <v>MCRO_27-CR-18-18391_Finding of Incompetency and Order_2024-03-20_20240430092713.pdf</v>
      </c>
      <c r="G213" s="8" t="str">
        <f aca="false">HYPERLINK("https://mncourtfraud.com/file/ca3ab252c77233164e7e9075046bbb713fcc955bf47771e25e88037725876fdc.png","ca3ab252c77233164e7e9075046bbb713fcc955bf47771e25e88037725876fdc")</f>
        <v>ca3ab252c77233164e7e9075046bbb713fcc955bf47771e25e88037725876fdc</v>
      </c>
      <c r="H213" s="1" t="s">
        <v>1460</v>
      </c>
      <c r="I213" s="3" t="s">
        <v>1517</v>
      </c>
      <c r="J213" s="1" t="s">
        <v>1482</v>
      </c>
      <c r="K213" s="3" t="n">
        <v>2178</v>
      </c>
      <c r="L213" s="15" t="s">
        <v>1515</v>
      </c>
      <c r="M213" s="1" t="s">
        <v>1484</v>
      </c>
      <c r="N213" s="9" t="n">
        <v>45370</v>
      </c>
      <c r="O213" s="10" t="s">
        <v>1518</v>
      </c>
      <c r="P213" s="1" t="n">
        <v>1050</v>
      </c>
      <c r="Q213" s="1" t="n">
        <v>110</v>
      </c>
    </row>
    <row r="214" customFormat="false" ht="18.7" hidden="false" customHeight="true" outlineLevel="0" collapsed="false">
      <c r="A214" s="1" t="n">
        <v>213</v>
      </c>
      <c r="B214" s="7" t="str">
        <f aca="false">HYPERLINK("https://mncourtfraud.com/file/AIO-43.zip","AIO-43.zip")</f>
        <v>AIO-43.zip</v>
      </c>
      <c r="C214" s="8" t="str">
        <f aca="false">HYPERLINK("https://mncourtfraud.com/file/27-CR-19-17539.pdf","27-CR-19-17539")</f>
        <v>27-CR-19-17539</v>
      </c>
      <c r="D214" s="3" t="s">
        <v>586</v>
      </c>
      <c r="E214" s="9" t="n">
        <v>45371</v>
      </c>
      <c r="F214" s="8" t="str">
        <f aca="false">HYPERLINK("https://mncourtfraud.com/file/MCRO_27-CR-19-17539_Finding of Incompetency and Order_2024-03-20_20240430091924.pdf","MCRO_27-CR-19-17539_Finding of Incompetency and Order_2024-03-20_20240430091924.pdf")</f>
        <v>MCRO_27-CR-19-17539_Finding of Incompetency and Order_2024-03-20_20240430091924.pdf</v>
      </c>
      <c r="G214" s="8" t="str">
        <f aca="false">HYPERLINK("https://mncourtfraud.com/file/ca3ab252c77233164e7e9075046bbb713fcc955bf47771e25e88037725876fdc.png","ca3ab252c77233164e7e9075046bbb713fcc955bf47771e25e88037725876fdc")</f>
        <v>ca3ab252c77233164e7e9075046bbb713fcc955bf47771e25e88037725876fdc</v>
      </c>
      <c r="H214" s="1" t="s">
        <v>1460</v>
      </c>
      <c r="I214" s="3" t="s">
        <v>1517</v>
      </c>
      <c r="J214" s="1" t="s">
        <v>1482</v>
      </c>
      <c r="K214" s="3" t="n">
        <v>2178</v>
      </c>
      <c r="L214" s="15" t="s">
        <v>1515</v>
      </c>
      <c r="M214" s="1" t="s">
        <v>1484</v>
      </c>
      <c r="N214" s="9" t="n">
        <v>45370</v>
      </c>
      <c r="O214" s="10" t="s">
        <v>1518</v>
      </c>
      <c r="P214" s="1" t="n">
        <v>1050</v>
      </c>
      <c r="Q214" s="1" t="n">
        <v>110</v>
      </c>
    </row>
    <row r="215" customFormat="false" ht="18.7" hidden="false" customHeight="true" outlineLevel="0" collapsed="false">
      <c r="A215" s="1" t="n">
        <v>214</v>
      </c>
      <c r="B215" s="7" t="str">
        <f aca="false">HYPERLINK("https://mncourtfraud.com/file/AIO-43.zip","AIO-43.zip")</f>
        <v>AIO-43.zip</v>
      </c>
      <c r="C215" s="8" t="str">
        <f aca="false">HYPERLINK("https://mncourtfraud.com/file/27-CR-19-1916.pdf","27-CR-19-1916")</f>
        <v>27-CR-19-1916</v>
      </c>
      <c r="D215" s="3" t="s">
        <v>586</v>
      </c>
      <c r="E215" s="9" t="n">
        <v>45371</v>
      </c>
      <c r="F215" s="8" t="str">
        <f aca="false">HYPERLINK("https://mncourtfraud.com/file/MCRO_27-CR-19-1916_Finding of Incompetency and Order_2024-03-20_20240430091206.pdf","MCRO_27-CR-19-1916_Finding of Incompetency and Order_2024-03-20_20240430091206.pdf")</f>
        <v>MCRO_27-CR-19-1916_Finding of Incompetency and Order_2024-03-20_20240430091206.pdf</v>
      </c>
      <c r="G215" s="8" t="str">
        <f aca="false">HYPERLINK("https://mncourtfraud.com/file/ca3ab252c77233164e7e9075046bbb713fcc955bf47771e25e88037725876fdc.png","ca3ab252c77233164e7e9075046bbb713fcc955bf47771e25e88037725876fdc")</f>
        <v>ca3ab252c77233164e7e9075046bbb713fcc955bf47771e25e88037725876fdc</v>
      </c>
      <c r="H215" s="1" t="s">
        <v>1460</v>
      </c>
      <c r="I215" s="3" t="s">
        <v>1517</v>
      </c>
      <c r="J215" s="1" t="s">
        <v>1482</v>
      </c>
      <c r="K215" s="3" t="n">
        <v>2178</v>
      </c>
      <c r="L215" s="15" t="s">
        <v>1515</v>
      </c>
      <c r="M215" s="1" t="s">
        <v>1484</v>
      </c>
      <c r="N215" s="9" t="n">
        <v>45370</v>
      </c>
      <c r="O215" s="10" t="s">
        <v>1518</v>
      </c>
      <c r="P215" s="1" t="n">
        <v>1050</v>
      </c>
      <c r="Q215" s="1" t="n">
        <v>110</v>
      </c>
    </row>
    <row r="216" customFormat="false" ht="18.7" hidden="false" customHeight="true" outlineLevel="0" collapsed="false">
      <c r="A216" s="1" t="n">
        <v>215</v>
      </c>
      <c r="B216" s="7" t="str">
        <f aca="false">HYPERLINK("https://mncourtfraud.com/file/AIO-43.zip","AIO-43.zip")</f>
        <v>AIO-43.zip</v>
      </c>
      <c r="C216" s="8" t="str">
        <f aca="false">HYPERLINK("https://mncourtfraud.com/file/27-CR-19-3539.pdf","27-CR-19-3539")</f>
        <v>27-CR-19-3539</v>
      </c>
      <c r="D216" s="3" t="s">
        <v>586</v>
      </c>
      <c r="E216" s="9" t="n">
        <v>45371</v>
      </c>
      <c r="F216" s="8" t="str">
        <f aca="false">HYPERLINK("https://mncourtfraud.com/file/MCRO_27-CR-19-3539_Finding of Incompetency and Order_2024-03-20_20240430091319.pdf","MCRO_27-CR-19-3539_Finding of Incompetency and Order_2024-03-20_20240430091319.pdf")</f>
        <v>MCRO_27-CR-19-3539_Finding of Incompetency and Order_2024-03-20_20240430091319.pdf</v>
      </c>
      <c r="G216" s="8" t="str">
        <f aca="false">HYPERLINK("https://mncourtfraud.com/file/ca3ab252c77233164e7e9075046bbb713fcc955bf47771e25e88037725876fdc.png","ca3ab252c77233164e7e9075046bbb713fcc955bf47771e25e88037725876fdc")</f>
        <v>ca3ab252c77233164e7e9075046bbb713fcc955bf47771e25e88037725876fdc</v>
      </c>
      <c r="H216" s="1" t="s">
        <v>1460</v>
      </c>
      <c r="I216" s="3" t="s">
        <v>1517</v>
      </c>
      <c r="J216" s="1" t="s">
        <v>1482</v>
      </c>
      <c r="K216" s="3" t="n">
        <v>2178</v>
      </c>
      <c r="L216" s="15" t="s">
        <v>1515</v>
      </c>
      <c r="M216" s="1" t="s">
        <v>1484</v>
      </c>
      <c r="N216" s="9" t="n">
        <v>45370</v>
      </c>
      <c r="O216" s="10" t="s">
        <v>1518</v>
      </c>
      <c r="P216" s="1" t="n">
        <v>1050</v>
      </c>
      <c r="Q216" s="1" t="n">
        <v>110</v>
      </c>
    </row>
    <row r="217" customFormat="false" ht="18.7" hidden="false" customHeight="true" outlineLevel="0" collapsed="false">
      <c r="A217" s="1" t="n">
        <v>216</v>
      </c>
      <c r="B217" s="7" t="str">
        <f aca="false">HYPERLINK("https://mncourtfraud.com/file/AIO-43.zip","AIO-43.zip")</f>
        <v>AIO-43.zip</v>
      </c>
      <c r="C217" s="8" t="str">
        <f aca="false">HYPERLINK("https://mncourtfraud.com/file/27-CR-21-22058.pdf","27-CR-21-22058")</f>
        <v>27-CR-21-22058</v>
      </c>
      <c r="D217" s="3" t="s">
        <v>586</v>
      </c>
      <c r="E217" s="9" t="n">
        <v>45371</v>
      </c>
      <c r="F217" s="8" t="str">
        <f aca="false">HYPERLINK("https://mncourtfraud.com/file/MCRO_27-CR-21-22058_Finding of Incompetency and Order_2024-03-20_20240430083543.pdf","MCRO_27-CR-21-22058_Finding of Incompetency and Order_2024-03-20_20240430083543.pdf")</f>
        <v>MCRO_27-CR-21-22058_Finding of Incompetency and Order_2024-03-20_20240430083543.pdf</v>
      </c>
      <c r="G217" s="8" t="str">
        <f aca="false">HYPERLINK("https://mncourtfraud.com/file/ca3ab252c77233164e7e9075046bbb713fcc955bf47771e25e88037725876fdc.png","ca3ab252c77233164e7e9075046bbb713fcc955bf47771e25e88037725876fdc")</f>
        <v>ca3ab252c77233164e7e9075046bbb713fcc955bf47771e25e88037725876fdc</v>
      </c>
      <c r="H217" s="1" t="s">
        <v>1460</v>
      </c>
      <c r="I217" s="3" t="s">
        <v>1517</v>
      </c>
      <c r="J217" s="1" t="s">
        <v>1482</v>
      </c>
      <c r="K217" s="3" t="n">
        <v>2178</v>
      </c>
      <c r="L217" s="15" t="s">
        <v>1515</v>
      </c>
      <c r="M217" s="1" t="s">
        <v>1484</v>
      </c>
      <c r="N217" s="9" t="n">
        <v>45370</v>
      </c>
      <c r="O217" s="10" t="s">
        <v>1518</v>
      </c>
      <c r="P217" s="1" t="n">
        <v>1050</v>
      </c>
      <c r="Q217" s="1" t="n">
        <v>110</v>
      </c>
    </row>
    <row r="218" customFormat="false" ht="18.7" hidden="false" customHeight="true" outlineLevel="0" collapsed="false">
      <c r="A218" s="1" t="n">
        <v>217</v>
      </c>
      <c r="E218" s="9"/>
    </row>
    <row r="219" customFormat="false" ht="18.7" hidden="false" customHeight="true" outlineLevel="0" collapsed="false">
      <c r="A219" s="1" t="n">
        <v>218</v>
      </c>
      <c r="B219" s="7" t="str">
        <f aca="false">HYPERLINK("https://mncourtfraud.com/file/MDL-33.zip","MDL-33.zip")</f>
        <v>MDL-33.zip</v>
      </c>
      <c r="C219" s="8" t="str">
        <f aca="false">HYPERLINK("https://mncourtfraud.com/file/27-CR-19-11566.pdf","27-CR-19-11566")</f>
        <v>27-CR-19-11566</v>
      </c>
      <c r="D219" s="3" t="s">
        <v>468</v>
      </c>
      <c r="E219" s="9" t="n">
        <v>45209</v>
      </c>
      <c r="F219" s="8" t="str">
        <f aca="false">HYPERLINK("https://mncourtfraud.com/file/MCRO_27-CR-19-11566_Order-Evaluation for Competency to Proceed (Rule 20.01)_2023-10-10_20240430091601.pdf","MCRO_27-CR-19-11566_Order-Evaluation for Competency to Proceed (Rule 20.01)_2023-10-10_20240430091601.pdf")</f>
        <v>MCRO_27-CR-19-11566_Order-Evaluation for Competency to Proceed (Rule 20.01)_2023-10-10_20240430091601.pdf</v>
      </c>
      <c r="G219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19" s="1" t="s">
        <v>1460</v>
      </c>
      <c r="I219" s="3" t="s">
        <v>1525</v>
      </c>
      <c r="J219" s="1" t="s">
        <v>1482</v>
      </c>
      <c r="K219" s="3" t="n">
        <v>3046</v>
      </c>
      <c r="L219" s="15" t="s">
        <v>1526</v>
      </c>
      <c r="M219" s="1" t="s">
        <v>1484</v>
      </c>
      <c r="N219" s="9" t="n">
        <v>45209</v>
      </c>
      <c r="O219" s="10" t="s">
        <v>1527</v>
      </c>
      <c r="P219" s="1" t="n">
        <v>1800</v>
      </c>
      <c r="Q219" s="1" t="n">
        <v>140</v>
      </c>
    </row>
    <row r="220" customFormat="false" ht="18.7" hidden="false" customHeight="true" outlineLevel="0" collapsed="false">
      <c r="A220" s="1" t="n">
        <v>219</v>
      </c>
      <c r="B220" s="7" t="str">
        <f aca="false">HYPERLINK("https://mncourtfraud.com/file/MDL-33.zip","MDL-33.zip")</f>
        <v>MDL-33.zip</v>
      </c>
      <c r="C220" s="8" t="str">
        <f aca="false">HYPERLINK("https://mncourtfraud.com/file/27-CR-19-12130.pdf","27-CR-19-12130")</f>
        <v>27-CR-19-12130</v>
      </c>
      <c r="D220" s="3" t="s">
        <v>468</v>
      </c>
      <c r="E220" s="9" t="n">
        <v>45209</v>
      </c>
      <c r="F220" s="8" t="str">
        <f aca="false">HYPERLINK("https://mncourtfraud.com/file/MCRO_27-CR-19-12130_Order-Evaluation for Competency to Proceed (Rule 20.01)_2023-10-10_20240430091708.pdf","MCRO_27-CR-19-12130_Order-Evaluation for Competency to Proceed (Rule 20.01)_2023-10-10_20240430091708.pdf")</f>
        <v>MCRO_27-CR-19-12130_Order-Evaluation for Competency to Proceed (Rule 20.01)_2023-10-10_20240430091708.pdf</v>
      </c>
      <c r="G220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20" s="1" t="s">
        <v>1460</v>
      </c>
      <c r="I220" s="3" t="s">
        <v>1525</v>
      </c>
      <c r="J220" s="1" t="s">
        <v>1482</v>
      </c>
      <c r="K220" s="3" t="n">
        <v>3046</v>
      </c>
      <c r="L220" s="15" t="s">
        <v>1526</v>
      </c>
      <c r="M220" s="1" t="s">
        <v>1484</v>
      </c>
      <c r="N220" s="9" t="n">
        <v>45209</v>
      </c>
      <c r="O220" s="10" t="s">
        <v>1527</v>
      </c>
      <c r="P220" s="1" t="n">
        <v>1800</v>
      </c>
      <c r="Q220" s="1" t="n">
        <v>140</v>
      </c>
    </row>
    <row r="221" customFormat="false" ht="18.7" hidden="false" customHeight="true" outlineLevel="0" collapsed="false">
      <c r="A221" s="1" t="n">
        <v>220</v>
      </c>
      <c r="B221" s="7" t="str">
        <f aca="false">HYPERLINK("https://mncourtfraud.com/file/MDL-33.zip","MDL-33.zip")</f>
        <v>MDL-33.zip</v>
      </c>
      <c r="C221" s="8" t="str">
        <f aca="false">HYPERLINK("https://mncourtfraud.com/file/27-CR-20-9036.pdf","27-CR-20-9036")</f>
        <v>27-CR-20-9036</v>
      </c>
      <c r="D221" s="3" t="s">
        <v>468</v>
      </c>
      <c r="E221" s="9" t="n">
        <v>45209</v>
      </c>
      <c r="F221" s="8" t="str">
        <f aca="false">HYPERLINK("https://mncourtfraud.com/file/MCRO_27-CR-20-9036_Order-Evaluation for Competency to Proceed (Rule 20.01)_2023-10-10_20240430085537.pdf","MCRO_27-CR-20-9036_Order-Evaluation for Competency to Proceed (Rule 20.01)_2023-10-10_20240430085537.pdf")</f>
        <v>MCRO_27-CR-20-9036_Order-Evaluation for Competency to Proceed (Rule 20.01)_2023-10-10_20240430085537.pdf</v>
      </c>
      <c r="G221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21" s="1" t="s">
        <v>1460</v>
      </c>
      <c r="I221" s="3" t="s">
        <v>1525</v>
      </c>
      <c r="J221" s="1" t="s">
        <v>1482</v>
      </c>
      <c r="K221" s="3" t="n">
        <v>3046</v>
      </c>
      <c r="L221" s="15" t="s">
        <v>1526</v>
      </c>
      <c r="M221" s="1" t="s">
        <v>1484</v>
      </c>
      <c r="N221" s="9" t="n">
        <v>45209</v>
      </c>
      <c r="O221" s="10" t="s">
        <v>1527</v>
      </c>
      <c r="P221" s="1" t="n">
        <v>1800</v>
      </c>
      <c r="Q221" s="1" t="n">
        <v>140</v>
      </c>
    </row>
    <row r="222" customFormat="false" ht="18.7" hidden="false" customHeight="true" outlineLevel="0" collapsed="false">
      <c r="A222" s="1" t="n">
        <v>221</v>
      </c>
      <c r="B222" s="7" t="str">
        <f aca="false">HYPERLINK("https://mncourtfraud.com/file/MDL-33.zip","MDL-33.zip")</f>
        <v>MDL-33.zip</v>
      </c>
      <c r="C222" s="8" t="str">
        <f aca="false">HYPERLINK("https://mncourtfraud.com/file/27-CR-21-1230.pdf","27-CR-21-1230")</f>
        <v>27-CR-21-1230</v>
      </c>
      <c r="D222" s="3" t="s">
        <v>468</v>
      </c>
      <c r="E222" s="9" t="n">
        <v>45209</v>
      </c>
      <c r="F222" s="8" t="str">
        <f aca="false">HYPERLINK("https://mncourtfraud.com/file/MCRO_27-CR-21-1230_Order-Evaluation for Competency to Proceed (Rule 20.01)_2023-10-10_20240430075409.pdf","MCRO_27-CR-21-1230_Order-Evaluation for Competency to Proceed (Rule 20.01)_2023-10-10_20240430075409.pdf")</f>
        <v>MCRO_27-CR-21-1230_Order-Evaluation for Competency to Proceed (Rule 20.01)_2023-10-10_20240430075409.pdf</v>
      </c>
      <c r="G222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22" s="1" t="s">
        <v>1460</v>
      </c>
      <c r="I222" s="3" t="s">
        <v>1525</v>
      </c>
      <c r="J222" s="1" t="s">
        <v>1482</v>
      </c>
      <c r="K222" s="3" t="n">
        <v>3046</v>
      </c>
      <c r="L222" s="15" t="s">
        <v>1526</v>
      </c>
      <c r="M222" s="1" t="s">
        <v>1484</v>
      </c>
      <c r="N222" s="9" t="n">
        <v>45209</v>
      </c>
      <c r="O222" s="10" t="s">
        <v>1527</v>
      </c>
      <c r="P222" s="1" t="n">
        <v>1800</v>
      </c>
      <c r="Q222" s="1" t="n">
        <v>140</v>
      </c>
    </row>
    <row r="223" customFormat="false" ht="18.7" hidden="false" customHeight="true" outlineLevel="0" collapsed="false">
      <c r="A223" s="1" t="n">
        <v>222</v>
      </c>
      <c r="B223" s="7" t="str">
        <f aca="false">HYPERLINK("https://mncourtfraud.com/file/MDL-33.zip","MDL-33.zip")</f>
        <v>MDL-33.zip</v>
      </c>
      <c r="C223" s="8" t="str">
        <f aca="false">HYPERLINK("https://mncourtfraud.com/file/27-CR-21-13752.pdf","27-CR-21-13752")</f>
        <v>27-CR-21-13752</v>
      </c>
      <c r="D223" s="3" t="s">
        <v>468</v>
      </c>
      <c r="E223" s="9" t="n">
        <v>45209</v>
      </c>
      <c r="F223" s="8" t="str">
        <f aca="false">HYPERLINK("https://mncourtfraud.com/file/MCRO_27-CR-21-13752_Order-Evaluation for Competency to Proceed (Rule 20.01)_2023-10-10_20240430082321.pdf","MCRO_27-CR-21-13752_Order-Evaluation for Competency to Proceed (Rule 20.01)_2023-10-10_20240430082321.pdf")</f>
        <v>MCRO_27-CR-21-13752_Order-Evaluation for Competency to Proceed (Rule 20.01)_2023-10-10_20240430082321.pdf</v>
      </c>
      <c r="G223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23" s="1" t="s">
        <v>1460</v>
      </c>
      <c r="I223" s="3" t="s">
        <v>1525</v>
      </c>
      <c r="J223" s="1" t="s">
        <v>1482</v>
      </c>
      <c r="K223" s="3" t="n">
        <v>3046</v>
      </c>
      <c r="L223" s="15" t="s">
        <v>1526</v>
      </c>
      <c r="M223" s="1" t="s">
        <v>1484</v>
      </c>
      <c r="N223" s="9" t="n">
        <v>45209</v>
      </c>
      <c r="O223" s="10" t="s">
        <v>1527</v>
      </c>
      <c r="P223" s="1" t="n">
        <v>1800</v>
      </c>
      <c r="Q223" s="1" t="n">
        <v>140</v>
      </c>
    </row>
    <row r="224" customFormat="false" ht="18.7" hidden="false" customHeight="true" outlineLevel="0" collapsed="false">
      <c r="A224" s="1" t="n">
        <v>223</v>
      </c>
      <c r="E224" s="9"/>
      <c r="K224" s="3"/>
      <c r="L224" s="15"/>
      <c r="N224" s="9"/>
      <c r="O224" s="10"/>
      <c r="P224" s="1"/>
      <c r="Q224" s="1"/>
    </row>
    <row r="225" customFormat="false" ht="18.7" hidden="false" customHeight="true" outlineLevel="0" collapsed="false">
      <c r="A225" s="1" t="n">
        <v>224</v>
      </c>
      <c r="B225" s="7" t="str">
        <f aca="false">HYPERLINK("https://mncourtfraud.com/file/MDL-34.zip","MDL-34.zip")</f>
        <v>MDL-34.zip</v>
      </c>
      <c r="C225" s="8" t="str">
        <f aca="false">HYPERLINK("https://mncourtfraud.com/file/27-CR-19-11566.pdf","27-CR-19-11566")</f>
        <v>27-CR-19-11566</v>
      </c>
      <c r="D225" s="3" t="s">
        <v>468</v>
      </c>
      <c r="E225" s="9" t="n">
        <v>45125</v>
      </c>
      <c r="F225" s="8" t="str">
        <f aca="false">HYPERLINK("https://mncourtfraud.com/file/MCRO_27-CR-19-11566_Order-Evaluation for Competency to Proceed (Rule 20.01)_2023-07-18_20240430091606.pdf","MCRO_27-CR-19-11566_Order-Evaluation for Competency to Proceed (Rule 20.01)_2023-07-18_20240430091606.pdf")</f>
        <v>MCRO_27-CR-19-11566_Order-Evaluation for Competency to Proceed (Rule 20.01)_2023-07-18_20240430091606.pdf</v>
      </c>
      <c r="G225" s="8" t="str">
        <f aca="false">HYPERLINK("https://mncourtfraud.com/file/19d8da9c754d793d9b2a225a07d16947c42c037f94ef41bd965c733b07f2a678.png","19d8da9c754d793d9b2a225a07d16947c42c037f94ef41bd965c733b07f2a678")</f>
        <v>19d8da9c754d793d9b2a225a07d16947c42c037f94ef41bd965c733b07f2a678</v>
      </c>
      <c r="H225" s="1" t="s">
        <v>1460</v>
      </c>
      <c r="I225" s="3" t="s">
        <v>1528</v>
      </c>
      <c r="J225" s="1" t="s">
        <v>1482</v>
      </c>
      <c r="K225" s="3" t="n">
        <v>4708</v>
      </c>
      <c r="L225" s="15" t="s">
        <v>1487</v>
      </c>
      <c r="M225" s="1" t="s">
        <v>1484</v>
      </c>
      <c r="N225" s="9" t="n">
        <v>45125</v>
      </c>
      <c r="O225" s="10" t="s">
        <v>1529</v>
      </c>
      <c r="P225" s="1" t="n">
        <v>2100</v>
      </c>
      <c r="Q225" s="1" t="n">
        <v>190</v>
      </c>
    </row>
    <row r="226" customFormat="false" ht="18.7" hidden="false" customHeight="true" outlineLevel="0" collapsed="false">
      <c r="A226" s="1" t="n">
        <v>225</v>
      </c>
      <c r="B226" s="7" t="str">
        <f aca="false">HYPERLINK("https://mncourtfraud.com/file/MDL-34.zip","MDL-34.zip")</f>
        <v>MDL-34.zip</v>
      </c>
      <c r="C226" s="8" t="str">
        <f aca="false">HYPERLINK("https://mncourtfraud.com/file/27-CR-19-12130.pdf","27-CR-19-12130")</f>
        <v>27-CR-19-12130</v>
      </c>
      <c r="D226" s="3" t="s">
        <v>468</v>
      </c>
      <c r="E226" s="9" t="n">
        <v>45125</v>
      </c>
      <c r="F226" s="8" t="str">
        <f aca="false">HYPERLINK("https://mncourtfraud.com/file/MCRO_27-CR-19-12130_Order-Evaluation for Competency to Proceed (Rule 20.01)_2023-07-18_20240430091712.pdf","MCRO_27-CR-19-12130_Order-Evaluation for Competency to Proceed (Rule 20.01)_2023-07-18_20240430091712.pdf")</f>
        <v>MCRO_27-CR-19-12130_Order-Evaluation for Competency to Proceed (Rule 20.01)_2023-07-18_20240430091712.pdf</v>
      </c>
      <c r="G226" s="8" t="str">
        <f aca="false">HYPERLINK("https://mncourtfraud.com/file/19d8da9c754d793d9b2a225a07d16947c42c037f94ef41bd965c733b07f2a678.png","19d8da9c754d793d9b2a225a07d16947c42c037f94ef41bd965c733b07f2a678")</f>
        <v>19d8da9c754d793d9b2a225a07d16947c42c037f94ef41bd965c733b07f2a678</v>
      </c>
      <c r="H226" s="1" t="s">
        <v>1460</v>
      </c>
      <c r="I226" s="3" t="s">
        <v>1528</v>
      </c>
      <c r="J226" s="1" t="s">
        <v>1482</v>
      </c>
      <c r="K226" s="3" t="n">
        <v>4708</v>
      </c>
      <c r="L226" s="15" t="s">
        <v>1487</v>
      </c>
      <c r="M226" s="1" t="s">
        <v>1484</v>
      </c>
      <c r="N226" s="9" t="n">
        <v>45125</v>
      </c>
      <c r="O226" s="10" t="s">
        <v>1529</v>
      </c>
      <c r="P226" s="1" t="n">
        <v>2100</v>
      </c>
      <c r="Q226" s="1" t="n">
        <v>190</v>
      </c>
    </row>
    <row r="227" customFormat="false" ht="18.7" hidden="false" customHeight="true" outlineLevel="0" collapsed="false">
      <c r="A227" s="1" t="n">
        <v>226</v>
      </c>
      <c r="B227" s="7" t="str">
        <f aca="false">HYPERLINK("https://mncourtfraud.com/file/MDL-34.zip","MDL-34.zip")</f>
        <v>MDL-34.zip</v>
      </c>
      <c r="C227" s="8" t="str">
        <f aca="false">HYPERLINK("https://mncourtfraud.com/file/27-CR-20-9036.pdf","27-CR-20-9036")</f>
        <v>27-CR-20-9036</v>
      </c>
      <c r="D227" s="3" t="s">
        <v>468</v>
      </c>
      <c r="E227" s="9" t="n">
        <v>45125</v>
      </c>
      <c r="F227" s="8" t="str">
        <f aca="false">HYPERLINK("https://mncourtfraud.com/file/MCRO_27-CR-20-9036_Order-Evaluation for Competency to Proceed (Rule 20.01)_2023-07-18_20240430085542.pdf","MCRO_27-CR-20-9036_Order-Evaluation for Competency to Proceed (Rule 20.01)_2023-07-18_20240430085542.pdf")</f>
        <v>MCRO_27-CR-20-9036_Order-Evaluation for Competency to Proceed (Rule 20.01)_2023-07-18_20240430085542.pdf</v>
      </c>
      <c r="G227" s="8" t="str">
        <f aca="false">HYPERLINK("https://mncourtfraud.com/file/19d8da9c754d793d9b2a225a07d16947c42c037f94ef41bd965c733b07f2a678.png","19d8da9c754d793d9b2a225a07d16947c42c037f94ef41bd965c733b07f2a678")</f>
        <v>19d8da9c754d793d9b2a225a07d16947c42c037f94ef41bd965c733b07f2a678</v>
      </c>
      <c r="H227" s="1" t="s">
        <v>1460</v>
      </c>
      <c r="I227" s="3" t="s">
        <v>1528</v>
      </c>
      <c r="J227" s="1" t="s">
        <v>1482</v>
      </c>
      <c r="K227" s="3" t="n">
        <v>4708</v>
      </c>
      <c r="L227" s="15" t="s">
        <v>1487</v>
      </c>
      <c r="M227" s="1" t="s">
        <v>1484</v>
      </c>
      <c r="N227" s="9" t="n">
        <v>45125</v>
      </c>
      <c r="O227" s="10" t="s">
        <v>1529</v>
      </c>
      <c r="P227" s="1" t="n">
        <v>2100</v>
      </c>
      <c r="Q227" s="1" t="n">
        <v>190</v>
      </c>
    </row>
    <row r="228" customFormat="false" ht="18.7" hidden="false" customHeight="true" outlineLevel="0" collapsed="false">
      <c r="A228" s="1" t="n">
        <v>227</v>
      </c>
      <c r="B228" s="7" t="str">
        <f aca="false">HYPERLINK("https://mncourtfraud.com/file/MDL-34.zip","MDL-34.zip")</f>
        <v>MDL-34.zip</v>
      </c>
      <c r="C228" s="8" t="str">
        <f aca="false">HYPERLINK("https://mncourtfraud.com/file/27-CR-21-1230.pdf","27-CR-21-1230")</f>
        <v>27-CR-21-1230</v>
      </c>
      <c r="D228" s="3" t="s">
        <v>468</v>
      </c>
      <c r="E228" s="9" t="n">
        <v>45125</v>
      </c>
      <c r="F228" s="8" t="str">
        <f aca="false">HYPERLINK("https://mncourtfraud.com/file/MCRO_27-CR-21-1230_Order-Evaluation for Competency to Proceed (Rule 20.01)_2023-07-18_20240430075414.pdf","MCRO_27-CR-21-1230_Order-Evaluation for Competency to Proceed (Rule 20.01)_2023-07-18_20240430075414.pdf")</f>
        <v>MCRO_27-CR-21-1230_Order-Evaluation for Competency to Proceed (Rule 20.01)_2023-07-18_20240430075414.pdf</v>
      </c>
      <c r="G228" s="8" t="str">
        <f aca="false">HYPERLINK("https://mncourtfraud.com/file/19d8da9c754d793d9b2a225a07d16947c42c037f94ef41bd965c733b07f2a678.png","19d8da9c754d793d9b2a225a07d16947c42c037f94ef41bd965c733b07f2a678")</f>
        <v>19d8da9c754d793d9b2a225a07d16947c42c037f94ef41bd965c733b07f2a678</v>
      </c>
      <c r="H228" s="1" t="s">
        <v>1460</v>
      </c>
      <c r="I228" s="3" t="s">
        <v>1528</v>
      </c>
      <c r="J228" s="1" t="s">
        <v>1482</v>
      </c>
      <c r="K228" s="3" t="n">
        <v>4708</v>
      </c>
      <c r="L228" s="15" t="s">
        <v>1487</v>
      </c>
      <c r="M228" s="1" t="s">
        <v>1484</v>
      </c>
      <c r="N228" s="9" t="n">
        <v>45125</v>
      </c>
      <c r="O228" s="10" t="s">
        <v>1529</v>
      </c>
      <c r="P228" s="1" t="n">
        <v>2100</v>
      </c>
      <c r="Q228" s="1" t="n">
        <v>190</v>
      </c>
    </row>
    <row r="229" customFormat="false" ht="18.7" hidden="false" customHeight="true" outlineLevel="0" collapsed="false">
      <c r="A229" s="1" t="n">
        <v>228</v>
      </c>
      <c r="B229" s="7" t="str">
        <f aca="false">HYPERLINK("https://mncourtfraud.com/file/MDL-34.zip","MDL-34.zip")</f>
        <v>MDL-34.zip</v>
      </c>
      <c r="C229" s="8" t="str">
        <f aca="false">HYPERLINK("https://mncourtfraud.com/file/27-CR-21-13752.pdf","27-CR-21-13752")</f>
        <v>27-CR-21-13752</v>
      </c>
      <c r="D229" s="3" t="s">
        <v>468</v>
      </c>
      <c r="E229" s="9" t="n">
        <v>45125</v>
      </c>
      <c r="F229" s="8" t="str">
        <f aca="false">HYPERLINK("https://mncourtfraud.com/file/MCRO_27-CR-21-13752_Order-Evaluation for Competency to Proceed (Rule 20.01)_2023-07-18_20240430082327.pdf","MCRO_27-CR-21-13752_Order-Evaluation for Competency to Proceed (Rule 20.01)_2023-07-18_20240430082327.pdf")</f>
        <v>MCRO_27-CR-21-13752_Order-Evaluation for Competency to Proceed (Rule 20.01)_2023-07-18_20240430082327.pdf</v>
      </c>
      <c r="G229" s="8" t="str">
        <f aca="false">HYPERLINK("https://mncourtfraud.com/file/19d8da9c754d793d9b2a225a07d16947c42c037f94ef41bd965c733b07f2a678.png","19d8da9c754d793d9b2a225a07d16947c42c037f94ef41bd965c733b07f2a678")</f>
        <v>19d8da9c754d793d9b2a225a07d16947c42c037f94ef41bd965c733b07f2a678</v>
      </c>
      <c r="H229" s="1" t="s">
        <v>1460</v>
      </c>
      <c r="I229" s="3" t="s">
        <v>1528</v>
      </c>
      <c r="J229" s="1" t="s">
        <v>1482</v>
      </c>
      <c r="K229" s="3" t="n">
        <v>4708</v>
      </c>
      <c r="L229" s="15" t="s">
        <v>1487</v>
      </c>
      <c r="M229" s="1" t="s">
        <v>1484</v>
      </c>
      <c r="N229" s="9" t="n">
        <v>45125</v>
      </c>
      <c r="O229" s="10" t="s">
        <v>1529</v>
      </c>
      <c r="P229" s="1" t="n">
        <v>2100</v>
      </c>
      <c r="Q229" s="1" t="n">
        <v>190</v>
      </c>
    </row>
    <row r="230" customFormat="false" ht="18.7" hidden="false" customHeight="true" outlineLevel="0" collapsed="false">
      <c r="A230" s="1" t="n">
        <v>229</v>
      </c>
      <c r="B230" s="7" t="str">
        <f aca="false">HYPERLINK("https://mncourtfraud.com/file/MDL-34.zip","MDL-34.zip")</f>
        <v>MDL-34.zip</v>
      </c>
      <c r="C230" s="8" t="str">
        <f aca="false">HYPERLINK("https://mncourtfraud.com/file/27-CR-20-20851.pdf","27-CR-20-20851")</f>
        <v>27-CR-20-20851</v>
      </c>
      <c r="D230" s="3" t="s">
        <v>483</v>
      </c>
      <c r="E230" s="9" t="n">
        <v>45125</v>
      </c>
      <c r="F230" s="8" t="str">
        <f aca="false">HYPERLINK("https://mncourtfraud.com/file/MCRO_27-CR-20-20851_Order-Evaluation for Competency to Proceed (Rule 20.01)_2023-07-18_20240430090332.pdf","MCRO_27-CR-20-20851_Order-Evaluation for Competency to Proceed (Rule 20.01)_2023-07-18_20240430090332.pdf")</f>
        <v>MCRO_27-CR-20-20851_Order-Evaluation for Competency to Proceed (Rule 20.01)_2023-07-18_20240430090332.pdf</v>
      </c>
      <c r="G230" s="8" t="str">
        <f aca="false">HYPERLINK("https://mncourtfraud.com/file/19d8da9c754d793d9b2a225a07d16947c42c037f94ef41bd965c733b07f2a678.png","19d8da9c754d793d9b2a225a07d16947c42c037f94ef41bd965c733b07f2a678")</f>
        <v>19d8da9c754d793d9b2a225a07d16947c42c037f94ef41bd965c733b07f2a678</v>
      </c>
      <c r="H230" s="1" t="s">
        <v>1460</v>
      </c>
      <c r="I230" s="3" t="s">
        <v>1528</v>
      </c>
      <c r="J230" s="1" t="s">
        <v>1482</v>
      </c>
      <c r="K230" s="3" t="n">
        <v>4708</v>
      </c>
      <c r="L230" s="15" t="s">
        <v>1487</v>
      </c>
      <c r="M230" s="1" t="s">
        <v>1484</v>
      </c>
      <c r="N230" s="9" t="n">
        <v>45125</v>
      </c>
      <c r="O230" s="10" t="s">
        <v>1529</v>
      </c>
      <c r="P230" s="1" t="n">
        <v>2100</v>
      </c>
      <c r="Q230" s="1" t="n">
        <v>190</v>
      </c>
    </row>
    <row r="231" customFormat="false" ht="18.7" hidden="false" customHeight="true" outlineLevel="0" collapsed="false">
      <c r="A231" s="1" t="n">
        <v>230</v>
      </c>
      <c r="B231" s="7" t="str">
        <f aca="false">HYPERLINK("https://mncourtfraud.com/file/MDL-34.zip","MDL-34.zip")</f>
        <v>MDL-34.zip</v>
      </c>
      <c r="C231" s="8" t="str">
        <f aca="false">HYPERLINK("https://mncourtfraud.com/file/27-CR-22-10055.pdf","27-CR-22-10055")</f>
        <v>27-CR-22-10055</v>
      </c>
      <c r="D231" s="3" t="s">
        <v>487</v>
      </c>
      <c r="E231" s="9" t="n">
        <v>45125</v>
      </c>
      <c r="F231" s="8" t="str">
        <f aca="false">HYPERLINK("https://mncourtfraud.com/file/MCRO_27-CR-22-10055_Order-Evaluation for Competency to Proceed (Rule 20.01)_2023-07-18_20240429152756.pdf","MCRO_27-CR-22-10055_Order-Evaluation for Competency to Proceed (Rule 20.01)_2023-07-18_20240429152756.pdf")</f>
        <v>MCRO_27-CR-22-10055_Order-Evaluation for Competency to Proceed (Rule 20.01)_2023-07-18_20240429152756.pdf</v>
      </c>
      <c r="G231" s="8" t="str">
        <f aca="false">HYPERLINK("https://mncourtfraud.com/file/19d8da9c754d793d9b2a225a07d16947c42c037f94ef41bd965c733b07f2a678.png","19d8da9c754d793d9b2a225a07d16947c42c037f94ef41bd965c733b07f2a678")</f>
        <v>19d8da9c754d793d9b2a225a07d16947c42c037f94ef41bd965c733b07f2a678</v>
      </c>
      <c r="H231" s="1" t="s">
        <v>1460</v>
      </c>
      <c r="I231" s="3" t="s">
        <v>1528</v>
      </c>
      <c r="J231" s="1" t="s">
        <v>1482</v>
      </c>
      <c r="K231" s="3" t="n">
        <v>4708</v>
      </c>
      <c r="L231" s="15" t="s">
        <v>1487</v>
      </c>
      <c r="M231" s="1" t="s">
        <v>1484</v>
      </c>
      <c r="N231" s="9" t="n">
        <v>45125</v>
      </c>
      <c r="O231" s="10" t="s">
        <v>1529</v>
      </c>
      <c r="P231" s="1" t="n">
        <v>2100</v>
      </c>
      <c r="Q231" s="1" t="n">
        <v>190</v>
      </c>
    </row>
    <row r="232" customFormat="false" ht="18.7" hidden="false" customHeight="true" outlineLevel="0" collapsed="false">
      <c r="A232" s="1" t="n">
        <v>231</v>
      </c>
      <c r="E232" s="9"/>
      <c r="K232" s="3"/>
      <c r="L232" s="15"/>
      <c r="N232" s="9"/>
      <c r="O232" s="10"/>
      <c r="P232" s="1"/>
      <c r="Q232" s="1"/>
    </row>
    <row r="233" customFormat="false" ht="18.7" hidden="false" customHeight="true" outlineLevel="0" collapsed="false">
      <c r="A233" s="1" t="n">
        <v>232</v>
      </c>
      <c r="B233" s="7" t="str">
        <f aca="false">HYPERLINK("https://mncourtfraud.com/file/MDL-35.zip","MDL-35.zip")</f>
        <v>MDL-35.zip</v>
      </c>
      <c r="C233" s="8" t="str">
        <f aca="false">HYPERLINK("https://mncourtfraud.com/file/27-CR-19-11566.pdf","27-CR-19-11566")</f>
        <v>27-CR-19-11566</v>
      </c>
      <c r="D233" s="3" t="s">
        <v>468</v>
      </c>
      <c r="E233" s="9" t="n">
        <v>45209</v>
      </c>
      <c r="F233" s="8" t="str">
        <f aca="false">HYPERLINK("https://mncourtfraud.com/file/MCRO_27-CR-19-11566_Order-Evaluation for Competency to Proceed (Rule 20.01)_2023-10-10_20240430091601.pdf","MCRO_27-CR-19-11566_Order-Evaluation for Competency to Proceed (Rule 20.01)_2023-10-10_20240430091601.pdf")</f>
        <v>MCRO_27-CR-19-11566_Order-Evaluation for Competency to Proceed (Rule 20.01)_2023-10-10_20240430091601.pdf</v>
      </c>
      <c r="G233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33" s="1" t="s">
        <v>1460</v>
      </c>
      <c r="I233" s="3" t="s">
        <v>1525</v>
      </c>
      <c r="J233" s="1" t="s">
        <v>1482</v>
      </c>
      <c r="K233" s="3" t="n">
        <v>3046</v>
      </c>
      <c r="L233" s="15" t="s">
        <v>1526</v>
      </c>
      <c r="M233" s="1" t="s">
        <v>1484</v>
      </c>
      <c r="N233" s="9" t="n">
        <v>45209</v>
      </c>
      <c r="O233" s="10" t="s">
        <v>1527</v>
      </c>
      <c r="P233" s="1" t="n">
        <v>1800</v>
      </c>
      <c r="Q233" s="1" t="n">
        <v>140</v>
      </c>
    </row>
    <row r="234" customFormat="false" ht="18.7" hidden="false" customHeight="true" outlineLevel="0" collapsed="false">
      <c r="A234" s="1" t="n">
        <v>233</v>
      </c>
      <c r="B234" s="7" t="str">
        <f aca="false">HYPERLINK("https://mncourtfraud.com/file/MDL-35.zip","MDL-35.zip")</f>
        <v>MDL-35.zip</v>
      </c>
      <c r="C234" s="8" t="str">
        <f aca="false">HYPERLINK("https://mncourtfraud.com/file/27-CR-19-12130.pdf","27-CR-19-12130")</f>
        <v>27-CR-19-12130</v>
      </c>
      <c r="D234" s="3" t="s">
        <v>468</v>
      </c>
      <c r="E234" s="9" t="n">
        <v>45209</v>
      </c>
      <c r="F234" s="8" t="str">
        <f aca="false">HYPERLINK("https://mncourtfraud.com/file/MCRO_27-CR-19-12130_Order-Evaluation for Competency to Proceed (Rule 20.01)_2023-10-10_20240430091708.pdf","MCRO_27-CR-19-12130_Order-Evaluation for Competency to Proceed (Rule 20.01)_2023-10-10_20240430091708.pdf")</f>
        <v>MCRO_27-CR-19-12130_Order-Evaluation for Competency to Proceed (Rule 20.01)_2023-10-10_20240430091708.pdf</v>
      </c>
      <c r="G234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34" s="1" t="s">
        <v>1460</v>
      </c>
      <c r="I234" s="3" t="s">
        <v>1525</v>
      </c>
      <c r="J234" s="1" t="s">
        <v>1482</v>
      </c>
      <c r="K234" s="3" t="n">
        <v>3046</v>
      </c>
      <c r="L234" s="15" t="s">
        <v>1526</v>
      </c>
      <c r="M234" s="1" t="s">
        <v>1484</v>
      </c>
      <c r="N234" s="9" t="n">
        <v>45209</v>
      </c>
      <c r="O234" s="10" t="s">
        <v>1527</v>
      </c>
      <c r="P234" s="1" t="n">
        <v>1800</v>
      </c>
      <c r="Q234" s="1" t="n">
        <v>140</v>
      </c>
    </row>
    <row r="235" customFormat="false" ht="18.7" hidden="false" customHeight="true" outlineLevel="0" collapsed="false">
      <c r="A235" s="1" t="n">
        <v>234</v>
      </c>
      <c r="B235" s="7" t="str">
        <f aca="false">HYPERLINK("https://mncourtfraud.com/file/MDL-35.zip","MDL-35.zip")</f>
        <v>MDL-35.zip</v>
      </c>
      <c r="C235" s="8" t="str">
        <f aca="false">HYPERLINK("https://mncourtfraud.com/file/27-CR-20-9036.pdf","27-CR-20-9036")</f>
        <v>27-CR-20-9036</v>
      </c>
      <c r="D235" s="3" t="s">
        <v>468</v>
      </c>
      <c r="E235" s="9" t="n">
        <v>45209</v>
      </c>
      <c r="F235" s="8" t="str">
        <f aca="false">HYPERLINK("https://mncourtfraud.com/file/MCRO_27-CR-20-9036_Order-Evaluation for Competency to Proceed (Rule 20.01)_2023-10-10_20240430085537.pdf","MCRO_27-CR-20-9036_Order-Evaluation for Competency to Proceed (Rule 20.01)_2023-10-10_20240430085537.pdf")</f>
        <v>MCRO_27-CR-20-9036_Order-Evaluation for Competency to Proceed (Rule 20.01)_2023-10-10_20240430085537.pdf</v>
      </c>
      <c r="G235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35" s="1" t="s">
        <v>1460</v>
      </c>
      <c r="I235" s="3" t="s">
        <v>1525</v>
      </c>
      <c r="J235" s="1" t="s">
        <v>1482</v>
      </c>
      <c r="K235" s="3" t="n">
        <v>3046</v>
      </c>
      <c r="L235" s="15" t="s">
        <v>1526</v>
      </c>
      <c r="M235" s="1" t="s">
        <v>1484</v>
      </c>
      <c r="N235" s="9" t="n">
        <v>45209</v>
      </c>
      <c r="O235" s="10" t="s">
        <v>1527</v>
      </c>
      <c r="P235" s="1" t="n">
        <v>1800</v>
      </c>
      <c r="Q235" s="1" t="n">
        <v>140</v>
      </c>
    </row>
    <row r="236" customFormat="false" ht="18.7" hidden="false" customHeight="true" outlineLevel="0" collapsed="false">
      <c r="A236" s="1" t="n">
        <v>235</v>
      </c>
      <c r="B236" s="7" t="str">
        <f aca="false">HYPERLINK("https://mncourtfraud.com/file/MDL-35.zip","MDL-35.zip")</f>
        <v>MDL-35.zip</v>
      </c>
      <c r="C236" s="8" t="str">
        <f aca="false">HYPERLINK("https://mncourtfraud.com/file/27-CR-21-1230.pdf","27-CR-21-1230")</f>
        <v>27-CR-21-1230</v>
      </c>
      <c r="D236" s="3" t="s">
        <v>468</v>
      </c>
      <c r="E236" s="9" t="n">
        <v>45209</v>
      </c>
      <c r="F236" s="8" t="str">
        <f aca="false">HYPERLINK("https://mncourtfraud.com/file/MCRO_27-CR-21-1230_Order-Evaluation for Competency to Proceed (Rule 20.01)_2023-10-10_20240430075409.pdf","MCRO_27-CR-21-1230_Order-Evaluation for Competency to Proceed (Rule 20.01)_2023-10-10_20240430075409.pdf")</f>
        <v>MCRO_27-CR-21-1230_Order-Evaluation for Competency to Proceed (Rule 20.01)_2023-10-10_20240430075409.pdf</v>
      </c>
      <c r="G236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36" s="1" t="s">
        <v>1460</v>
      </c>
      <c r="I236" s="3" t="s">
        <v>1525</v>
      </c>
      <c r="J236" s="1" t="s">
        <v>1482</v>
      </c>
      <c r="K236" s="3" t="n">
        <v>3046</v>
      </c>
      <c r="L236" s="15" t="s">
        <v>1526</v>
      </c>
      <c r="M236" s="1" t="s">
        <v>1484</v>
      </c>
      <c r="N236" s="9" t="n">
        <v>45209</v>
      </c>
      <c r="O236" s="10" t="s">
        <v>1527</v>
      </c>
      <c r="P236" s="1" t="n">
        <v>1800</v>
      </c>
      <c r="Q236" s="1" t="n">
        <v>140</v>
      </c>
    </row>
    <row r="237" customFormat="false" ht="18.7" hidden="false" customHeight="true" outlineLevel="0" collapsed="false">
      <c r="A237" s="1" t="n">
        <v>236</v>
      </c>
      <c r="B237" s="7" t="str">
        <f aca="false">HYPERLINK("https://mncourtfraud.com/file/MDL-35.zip","MDL-35.zip")</f>
        <v>MDL-35.zip</v>
      </c>
      <c r="C237" s="8" t="str">
        <f aca="false">HYPERLINK("https://mncourtfraud.com/file/27-CR-21-13752.pdf","27-CR-21-13752")</f>
        <v>27-CR-21-13752</v>
      </c>
      <c r="D237" s="3" t="s">
        <v>468</v>
      </c>
      <c r="E237" s="9" t="n">
        <v>45209</v>
      </c>
      <c r="F237" s="8" t="str">
        <f aca="false">HYPERLINK("https://mncourtfraud.com/file/MCRO_27-CR-21-13752_Order-Evaluation for Competency to Proceed (Rule 20.01)_2023-10-10_20240430082321.pdf","MCRO_27-CR-21-13752_Order-Evaluation for Competency to Proceed (Rule 20.01)_2023-10-10_20240430082321.pdf")</f>
        <v>MCRO_27-CR-21-13752_Order-Evaluation for Competency to Proceed (Rule 20.01)_2023-10-10_20240430082321.pdf</v>
      </c>
      <c r="G237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37" s="1" t="s">
        <v>1460</v>
      </c>
      <c r="I237" s="3" t="s">
        <v>1525</v>
      </c>
      <c r="J237" s="1" t="s">
        <v>1482</v>
      </c>
      <c r="K237" s="3" t="n">
        <v>3046</v>
      </c>
      <c r="L237" s="15" t="s">
        <v>1526</v>
      </c>
      <c r="M237" s="1" t="s">
        <v>1484</v>
      </c>
      <c r="N237" s="9" t="n">
        <v>45209</v>
      </c>
      <c r="O237" s="10" t="s">
        <v>1527</v>
      </c>
      <c r="P237" s="1" t="n">
        <v>1800</v>
      </c>
      <c r="Q237" s="1" t="n">
        <v>140</v>
      </c>
    </row>
    <row r="238" customFormat="false" ht="18.7" hidden="false" customHeight="true" outlineLevel="0" collapsed="false">
      <c r="A238" s="1" t="n">
        <v>237</v>
      </c>
      <c r="B238" s="7" t="str">
        <f aca="false">HYPERLINK("https://mncourtfraud.com/file/MDL-35.zip","MDL-35.zip")</f>
        <v>MDL-35.zip</v>
      </c>
      <c r="C238" s="8" t="str">
        <f aca="false">HYPERLINK("https://mncourtfraud.com/file/27-CR-20-20851.pdf","27-CR-20-20851")</f>
        <v>27-CR-20-20851</v>
      </c>
      <c r="D238" s="3" t="s">
        <v>483</v>
      </c>
      <c r="E238" s="9" t="n">
        <v>45209</v>
      </c>
      <c r="F238" s="8" t="str">
        <f aca="false">HYPERLINK("https://mncourtfraud.com/file/MCRO_27-CR-20-20851_Order-Evaluation for Competency to Proceed (Rule 20.01)_2023-10-10_20240430090325.pdf","MCRO_27-CR-20-20851_Order-Evaluation for Competency to Proceed (Rule 20.01)_2023-10-10_20240430090325.pdf")</f>
        <v>MCRO_27-CR-20-20851_Order-Evaluation for Competency to Proceed (Rule 20.01)_2023-10-10_20240430090325.pdf</v>
      </c>
      <c r="G238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38" s="1" t="s">
        <v>1460</v>
      </c>
      <c r="I238" s="3" t="s">
        <v>1525</v>
      </c>
      <c r="J238" s="1" t="s">
        <v>1482</v>
      </c>
      <c r="K238" s="3" t="n">
        <v>3046</v>
      </c>
      <c r="L238" s="15" t="s">
        <v>1526</v>
      </c>
      <c r="M238" s="1" t="s">
        <v>1484</v>
      </c>
      <c r="N238" s="9" t="n">
        <v>45209</v>
      </c>
      <c r="O238" s="10" t="s">
        <v>1527</v>
      </c>
      <c r="P238" s="1" t="n">
        <v>1800</v>
      </c>
      <c r="Q238" s="1" t="n">
        <v>140</v>
      </c>
    </row>
    <row r="239" customFormat="false" ht="18.7" hidden="false" customHeight="true" outlineLevel="0" collapsed="false">
      <c r="A239" s="1" t="n">
        <v>238</v>
      </c>
      <c r="B239" s="7" t="str">
        <f aca="false">HYPERLINK("https://mncourtfraud.com/file/MDL-35.zip","MDL-35.zip")</f>
        <v>MDL-35.zip</v>
      </c>
      <c r="C239" s="8" t="str">
        <f aca="false">HYPERLINK("https://mncourtfraud.com/file/27-CR-20-20851.pdf","27-CR-20-20851")</f>
        <v>27-CR-20-20851</v>
      </c>
      <c r="D239" s="3" t="s">
        <v>483</v>
      </c>
      <c r="E239" s="9" t="n">
        <v>45209</v>
      </c>
      <c r="F239" s="8" t="str">
        <f aca="false">HYPERLINK("https://mncourtfraud.com/file/MCRO_27-CR-20-20851_Order-Evaluation for Competency to Proceed (Rule 20.01)_2023-10-10_20240430090325.pdf","MCRO_27-CR-20-20851_Order-Evaluation for Competency to Proceed (Rule 20.01)_2023-10-10_20240430090325.pdf")</f>
        <v>MCRO_27-CR-20-20851_Order-Evaluation for Competency to Proceed (Rule 20.01)_2023-10-10_20240430090325.pdf</v>
      </c>
      <c r="G239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39" s="1" t="s">
        <v>1460</v>
      </c>
      <c r="I239" s="3" t="s">
        <v>1525</v>
      </c>
      <c r="J239" s="1" t="s">
        <v>1482</v>
      </c>
      <c r="K239" s="3" t="n">
        <v>3046</v>
      </c>
      <c r="L239" s="15" t="s">
        <v>1526</v>
      </c>
      <c r="M239" s="1" t="s">
        <v>1484</v>
      </c>
      <c r="N239" s="9" t="n">
        <v>45209</v>
      </c>
      <c r="O239" s="10" t="s">
        <v>1527</v>
      </c>
      <c r="P239" s="1" t="n">
        <v>1800</v>
      </c>
      <c r="Q239" s="1" t="n">
        <v>140</v>
      </c>
    </row>
    <row r="240" customFormat="false" ht="18.7" hidden="false" customHeight="true" outlineLevel="0" collapsed="false">
      <c r="A240" s="1" t="n">
        <v>239</v>
      </c>
      <c r="B240" s="7" t="str">
        <f aca="false">HYPERLINK("https://mncourtfraud.com/file/MDL-35.zip","MDL-35.zip")</f>
        <v>MDL-35.zip</v>
      </c>
      <c r="C240" s="8" t="str">
        <f aca="false">HYPERLINK("https://mncourtfraud.com/file/27-CR-22-10055.pdf","27-CR-22-10055")</f>
        <v>27-CR-22-10055</v>
      </c>
      <c r="D240" s="3" t="s">
        <v>487</v>
      </c>
      <c r="E240" s="9" t="n">
        <v>45209</v>
      </c>
      <c r="F240" s="8" t="str">
        <f aca="false">HYPERLINK("https://mncourtfraud.com/file/MCRO_27-CR-22-10055_Order-Evaluation for Competency to Proceed (Rule 20.01)_2023-10-10_20240429152748.pdf","MCRO_27-CR-22-10055_Order-Evaluation for Competency to Proceed (Rule 20.01)_2023-10-10_20240429152748.pdf")</f>
        <v>MCRO_27-CR-22-10055_Order-Evaluation for Competency to Proceed (Rule 20.01)_2023-10-10_20240429152748.pdf</v>
      </c>
      <c r="G240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40" s="1" t="s">
        <v>1460</v>
      </c>
      <c r="I240" s="3" t="s">
        <v>1525</v>
      </c>
      <c r="J240" s="1" t="s">
        <v>1482</v>
      </c>
      <c r="K240" s="3" t="n">
        <v>3046</v>
      </c>
      <c r="L240" s="15" t="s">
        <v>1526</v>
      </c>
      <c r="M240" s="1" t="s">
        <v>1484</v>
      </c>
      <c r="N240" s="9" t="n">
        <v>45209</v>
      </c>
      <c r="O240" s="10" t="s">
        <v>1527</v>
      </c>
      <c r="P240" s="1" t="n">
        <v>1800</v>
      </c>
      <c r="Q240" s="1" t="n">
        <v>140</v>
      </c>
    </row>
    <row r="241" customFormat="false" ht="18.7" hidden="false" customHeight="true" outlineLevel="0" collapsed="false">
      <c r="A241" s="1" t="n">
        <v>240</v>
      </c>
      <c r="B241" s="7" t="str">
        <f aca="false">HYPERLINK("https://mncourtfraud.com/file/MDL-35.zip","MDL-35.zip")</f>
        <v>MDL-35.zip</v>
      </c>
      <c r="C241" s="8" t="str">
        <f aca="false">HYPERLINK("https://mncourtfraud.com/file/27-CR-22-10055.pdf","27-CR-22-10055")</f>
        <v>27-CR-22-10055</v>
      </c>
      <c r="D241" s="3" t="s">
        <v>487</v>
      </c>
      <c r="E241" s="9" t="n">
        <v>45209</v>
      </c>
      <c r="F241" s="8" t="str">
        <f aca="false">HYPERLINK("https://mncourtfraud.com/file/MCRO_27-CR-22-10055_Order-Evaluation for Competency to Proceed (Rule 20.01)_2023-10-10_20240429152748.pdf","MCRO_27-CR-22-10055_Order-Evaluation for Competency to Proceed (Rule 20.01)_2023-10-10_20240429152748.pdf")</f>
        <v>MCRO_27-CR-22-10055_Order-Evaluation for Competency to Proceed (Rule 20.01)_2023-10-10_20240429152748.pdf</v>
      </c>
      <c r="G241" s="8" t="str">
        <f aca="false">HYPERLINK("https://mncourtfraud.com/file/84adf92fbeb43cb73882a3dc15f6643c66b90e4b7c0d2b7294119adc9c656162.png","84adf92fbeb43cb73882a3dc15f6643c66b90e4b7c0d2b7294119adc9c656162")</f>
        <v>84adf92fbeb43cb73882a3dc15f6643c66b90e4b7c0d2b7294119adc9c656162</v>
      </c>
      <c r="H241" s="1" t="s">
        <v>1460</v>
      </c>
      <c r="I241" s="3" t="s">
        <v>1525</v>
      </c>
      <c r="J241" s="1" t="s">
        <v>1482</v>
      </c>
      <c r="K241" s="3" t="n">
        <v>3046</v>
      </c>
      <c r="L241" s="15" t="s">
        <v>1526</v>
      </c>
      <c r="M241" s="1" t="s">
        <v>1484</v>
      </c>
      <c r="N241" s="9" t="n">
        <v>45209</v>
      </c>
      <c r="O241" s="10" t="s">
        <v>1527</v>
      </c>
      <c r="P241" s="1" t="n">
        <v>1800</v>
      </c>
      <c r="Q241" s="1" t="n">
        <v>140</v>
      </c>
    </row>
    <row r="242" customFormat="false" ht="18.7" hidden="false" customHeight="true" outlineLevel="0" collapsed="false">
      <c r="A242" s="1" t="n">
        <v>241</v>
      </c>
      <c r="E242" s="9"/>
      <c r="K242" s="3"/>
      <c r="L242" s="15"/>
      <c r="N242" s="9"/>
      <c r="O242" s="10"/>
      <c r="P242" s="1"/>
      <c r="Q242" s="1"/>
    </row>
    <row r="243" customFormat="false" ht="18.7" hidden="false" customHeight="true" outlineLevel="0" collapsed="false">
      <c r="A243" s="1" t="n">
        <v>242</v>
      </c>
      <c r="B243" s="7" t="str">
        <f aca="false">HYPERLINK("https://mncourtfraud.com/file/CBG-1.zip","CBG-1.zip")</f>
        <v>CBG-1.zip</v>
      </c>
      <c r="C243" s="8" t="str">
        <f aca="false">HYPERLINK("https://mncourtfraud.com/file/27-CR-21-23628.pdf","27-CR-21-23628")</f>
        <v>27-CR-21-23628</v>
      </c>
      <c r="D243" s="3" t="s">
        <v>1530</v>
      </c>
      <c r="E243" s="9" t="n">
        <v>45089</v>
      </c>
      <c r="F243" s="8" t="str">
        <f aca="false">HYPERLINK("https://mncourtfraud.com/file/MCRO_27-CR-21-23628_Order-Evaluation for Competency to Proceed (Rule 20.01)_2023-06-12_20240430084619.pdf","MCRO_27-CR-21-23628_Order-Evaluation for Competency to Proceed (Rule 20.01)_2023-06-12_20240430084619.pdf")</f>
        <v>MCRO_27-CR-21-23628_Order-Evaluation for Competency to Proceed (Rule 20.01)_2023-06-12_20240430084619.pdf</v>
      </c>
      <c r="G243" s="8" t="str">
        <f aca="false">HYPERLINK("https://mncourtfraud.com/file/38e10fc34e952350d62aa5c1616b1b8c5ef16921682d7e820c6bd00e6c2fd171.png","38e10fc34e952350d62aa5c1616b1b8c5ef16921682d7e820c6bd00e6c2fd171")</f>
        <v>38e10fc34e952350d62aa5c1616b1b8c5ef16921682d7e820c6bd00e6c2fd171</v>
      </c>
      <c r="H243" s="1" t="s">
        <v>1460</v>
      </c>
      <c r="I243" s="3" t="s">
        <v>1531</v>
      </c>
      <c r="J243" s="1" t="s">
        <v>1482</v>
      </c>
      <c r="K243" s="3" t="n">
        <v>3916</v>
      </c>
      <c r="L243" s="15" t="s">
        <v>1487</v>
      </c>
      <c r="M243" s="1" t="s">
        <v>1484</v>
      </c>
      <c r="N243" s="9" t="n">
        <v>45089</v>
      </c>
      <c r="O243" s="10" t="s">
        <v>1532</v>
      </c>
      <c r="P243" s="1" t="n">
        <v>2870</v>
      </c>
      <c r="Q243" s="1" t="n">
        <v>160</v>
      </c>
    </row>
    <row r="244" customFormat="false" ht="18.7" hidden="false" customHeight="true" outlineLevel="0" collapsed="false">
      <c r="A244" s="1" t="n">
        <v>243</v>
      </c>
      <c r="B244" s="7" t="str">
        <f aca="false">HYPERLINK("https://mncourtfraud.com/file/CBG-1.zip","CBG-1.zip")</f>
        <v>CBG-1.zip</v>
      </c>
      <c r="C244" s="8" t="str">
        <f aca="false">HYPERLINK("https://mncourtfraud.com/file/27-CR-22-25134.pdf","27-CR-22-25134")</f>
        <v>27-CR-22-25134</v>
      </c>
      <c r="D244" s="3" t="s">
        <v>1530</v>
      </c>
      <c r="E244" s="9" t="n">
        <v>45089</v>
      </c>
      <c r="F244" s="8" t="str">
        <f aca="false">HYPERLINK("https://mncourtfraud.com/file/MCRO_27-CR-22-25134_Order-Evaluation for Competency to Proceed (Rule 20.01)_2023-06-12_20240429164456.pdf","MCRO_27-CR-22-25134_Order-Evaluation for Competency to Proceed (Rule 20.01)_2023-06-12_20240429164456.pdf")</f>
        <v>MCRO_27-CR-22-25134_Order-Evaluation for Competency to Proceed (Rule 20.01)_2023-06-12_20240429164456.pdf</v>
      </c>
      <c r="G244" s="8" t="str">
        <f aca="false">HYPERLINK("https://mncourtfraud.com/file/38e10fc34e952350d62aa5c1616b1b8c5ef16921682d7e820c6bd00e6c2fd171.png","38e10fc34e952350d62aa5c1616b1b8c5ef16921682d7e820c6bd00e6c2fd171")</f>
        <v>38e10fc34e952350d62aa5c1616b1b8c5ef16921682d7e820c6bd00e6c2fd171</v>
      </c>
      <c r="H244" s="1" t="s">
        <v>1460</v>
      </c>
      <c r="I244" s="3" t="s">
        <v>1531</v>
      </c>
      <c r="J244" s="1" t="s">
        <v>1482</v>
      </c>
      <c r="K244" s="3" t="n">
        <v>3916</v>
      </c>
      <c r="L244" s="15" t="s">
        <v>1487</v>
      </c>
      <c r="M244" s="1" t="s">
        <v>1484</v>
      </c>
      <c r="N244" s="9" t="n">
        <v>45089</v>
      </c>
      <c r="O244" s="10" t="s">
        <v>1532</v>
      </c>
      <c r="P244" s="1" t="n">
        <v>2870</v>
      </c>
      <c r="Q244" s="1" t="n">
        <v>160</v>
      </c>
    </row>
    <row r="245" customFormat="false" ht="18.7" hidden="false" customHeight="true" outlineLevel="0" collapsed="false">
      <c r="A245" s="1" t="n">
        <v>244</v>
      </c>
      <c r="B245" s="7" t="str">
        <f aca="false">HYPERLINK("https://mncourtfraud.com/file/CBG-1.zip","CBG-1.zip")</f>
        <v>CBG-1.zip</v>
      </c>
      <c r="C245" s="8" t="str">
        <f aca="false">HYPERLINK("https://mncourtfraud.com/file/27-CR-22-7797.pdf","27-CR-22-7797")</f>
        <v>27-CR-22-7797</v>
      </c>
      <c r="D245" s="3" t="s">
        <v>1530</v>
      </c>
      <c r="E245" s="9" t="n">
        <v>45089</v>
      </c>
      <c r="F245" s="8" t="str">
        <f aca="false">HYPERLINK("https://mncourtfraud.com/file/MCRO_27-CR-22-7797_Order-Evaluation for Competency to Proceed (Rule 20.01)_2023-06-12_20240429040526.pdf","MCRO_27-CR-22-7797_Order-Evaluation for Competency to Proceed (Rule 20.01)_2023-06-12_20240429040526.pdf")</f>
        <v>MCRO_27-CR-22-7797_Order-Evaluation for Competency to Proceed (Rule 20.01)_2023-06-12_20240429040526.pdf</v>
      </c>
      <c r="G245" s="8" t="str">
        <f aca="false">HYPERLINK("https://mncourtfraud.com/file/38e10fc34e952350d62aa5c1616b1b8c5ef16921682d7e820c6bd00e6c2fd171.png","38e10fc34e952350d62aa5c1616b1b8c5ef16921682d7e820c6bd00e6c2fd171")</f>
        <v>38e10fc34e952350d62aa5c1616b1b8c5ef16921682d7e820c6bd00e6c2fd171</v>
      </c>
      <c r="H245" s="1" t="s">
        <v>1460</v>
      </c>
      <c r="I245" s="3" t="s">
        <v>1531</v>
      </c>
      <c r="J245" s="1" t="s">
        <v>1482</v>
      </c>
      <c r="K245" s="3" t="n">
        <v>3916</v>
      </c>
      <c r="L245" s="15" t="s">
        <v>1487</v>
      </c>
      <c r="M245" s="1" t="s">
        <v>1484</v>
      </c>
      <c r="N245" s="9" t="n">
        <v>45089</v>
      </c>
      <c r="O245" s="10" t="s">
        <v>1532</v>
      </c>
      <c r="P245" s="1" t="n">
        <v>2870</v>
      </c>
      <c r="Q245" s="1" t="n">
        <v>160</v>
      </c>
    </row>
    <row r="246" customFormat="false" ht="18.7" hidden="false" customHeight="true" outlineLevel="0" collapsed="false">
      <c r="A246" s="1" t="n">
        <v>245</v>
      </c>
      <c r="E246" s="9"/>
      <c r="K246" s="3"/>
      <c r="L246" s="15"/>
      <c r="N246" s="9"/>
      <c r="O246" s="10"/>
      <c r="P246" s="1"/>
      <c r="Q246" s="1"/>
    </row>
    <row r="247" customFormat="false" ht="18.7" hidden="false" customHeight="true" outlineLevel="0" collapsed="false">
      <c r="A247" s="1" t="n">
        <v>246</v>
      </c>
      <c r="B247" s="7" t="str">
        <f aca="false">HYPERLINK("https://mncourtfraud.com/file/CBG-2.zip","CBG-2.zip")</f>
        <v>CBG-2.zip</v>
      </c>
      <c r="C247" s="8" t="str">
        <f aca="false">HYPERLINK("https://mncourtfraud.com/file/27-CR-21-23628.pdf","27-CR-21-23628")</f>
        <v>27-CR-21-23628</v>
      </c>
      <c r="D247" s="3" t="s">
        <v>1530</v>
      </c>
      <c r="E247" s="9" t="n">
        <v>44979</v>
      </c>
      <c r="F247" s="8" t="str">
        <f aca="false">HYPERLINK("https://mncourtfraud.com/file/MCRO_27-CR-21-23628_Finding of Incompetency and Order_2023-02-22_20240430084620.pdf","MCRO_27-CR-21-23628_Finding of Incompetency and Order_2023-02-22_20240430084620.pdf")</f>
        <v>MCRO_27-CR-21-23628_Finding of Incompetency and Order_2023-02-22_20240430084620.pdf</v>
      </c>
      <c r="G247" s="8" t="str">
        <f aca="false">HYPERLINK("https://mncourtfraud.com/file/b3c0276c09276736d54d7491676cb2a20c08b07c2381f84e3dc45ed5b41a0b14.png","b3c0276c09276736d54d7491676cb2a20c08b07c2381f84e3dc45ed5b41a0b14")</f>
        <v>b3c0276c09276736d54d7491676cb2a20c08b07c2381f84e3dc45ed5b41a0b14</v>
      </c>
      <c r="H247" s="1" t="s">
        <v>1460</v>
      </c>
      <c r="I247" s="3" t="s">
        <v>1533</v>
      </c>
      <c r="J247" s="1" t="s">
        <v>1482</v>
      </c>
      <c r="K247" s="3" t="n">
        <v>3550</v>
      </c>
      <c r="L247" s="15" t="s">
        <v>1496</v>
      </c>
      <c r="M247" s="1" t="s">
        <v>1484</v>
      </c>
      <c r="N247" s="9" t="n">
        <v>44978</v>
      </c>
      <c r="O247" s="10" t="s">
        <v>1534</v>
      </c>
      <c r="P247" s="1" t="n">
        <v>1470</v>
      </c>
      <c r="Q247" s="1" t="n">
        <v>150</v>
      </c>
    </row>
    <row r="248" customFormat="false" ht="18.7" hidden="false" customHeight="true" outlineLevel="0" collapsed="false">
      <c r="A248" s="1" t="n">
        <v>247</v>
      </c>
      <c r="B248" s="7" t="str">
        <f aca="false">HYPERLINK("https://mncourtfraud.com/file/CBG-2.zip","CBG-2.zip")</f>
        <v>CBG-2.zip</v>
      </c>
      <c r="C248" s="8" t="str">
        <f aca="false">HYPERLINK("https://mncourtfraud.com/file/27-CR-22-25134.pdf","27-CR-22-25134")</f>
        <v>27-CR-22-25134</v>
      </c>
      <c r="D248" s="3" t="s">
        <v>1530</v>
      </c>
      <c r="E248" s="9" t="n">
        <v>44979</v>
      </c>
      <c r="F248" s="8" t="str">
        <f aca="false">HYPERLINK("https://mncourtfraud.com/file/MCRO_27-CR-22-25134_Finding of Incompetency and Order_2023-02-22_20240429164457.pdf","MCRO_27-CR-22-25134_Finding of Incompetency and Order_2023-02-22_20240429164457.pdf")</f>
        <v>MCRO_27-CR-22-25134_Finding of Incompetency and Order_2023-02-22_20240429164457.pdf</v>
      </c>
      <c r="G248" s="8" t="str">
        <f aca="false">HYPERLINK("https://mncourtfraud.com/file/b3c0276c09276736d54d7491676cb2a20c08b07c2381f84e3dc45ed5b41a0b14.png","b3c0276c09276736d54d7491676cb2a20c08b07c2381f84e3dc45ed5b41a0b14")</f>
        <v>b3c0276c09276736d54d7491676cb2a20c08b07c2381f84e3dc45ed5b41a0b14</v>
      </c>
      <c r="H248" s="1" t="s">
        <v>1460</v>
      </c>
      <c r="I248" s="3" t="s">
        <v>1533</v>
      </c>
      <c r="J248" s="1" t="s">
        <v>1482</v>
      </c>
      <c r="K248" s="3" t="n">
        <v>3550</v>
      </c>
      <c r="L248" s="15" t="s">
        <v>1496</v>
      </c>
      <c r="M248" s="1" t="s">
        <v>1484</v>
      </c>
      <c r="N248" s="9" t="n">
        <v>44978</v>
      </c>
      <c r="O248" s="10" t="s">
        <v>1534</v>
      </c>
      <c r="P248" s="1" t="n">
        <v>1470</v>
      </c>
      <c r="Q248" s="1" t="n">
        <v>150</v>
      </c>
    </row>
    <row r="249" customFormat="false" ht="18.7" hidden="false" customHeight="true" outlineLevel="0" collapsed="false">
      <c r="A249" s="1" t="n">
        <v>248</v>
      </c>
      <c r="B249" s="7" t="str">
        <f aca="false">HYPERLINK("https://mncourtfraud.com/file/CBG-2.zip","CBG-2.zip")</f>
        <v>CBG-2.zip</v>
      </c>
      <c r="C249" s="8" t="str">
        <f aca="false">HYPERLINK("https://mncourtfraud.com/file/27-CR-22-7797.pdf","27-CR-22-7797")</f>
        <v>27-CR-22-7797</v>
      </c>
      <c r="D249" s="3" t="s">
        <v>1530</v>
      </c>
      <c r="E249" s="9" t="n">
        <v>44979</v>
      </c>
      <c r="F249" s="8" t="str">
        <f aca="false">HYPERLINK("https://mncourtfraud.com/file/MCRO_27-CR-22-7797_Finding of Incompetency and Order_2023-02-22_20240429040528.pdf","MCRO_27-CR-22-7797_Finding of Incompetency and Order_2023-02-22_20240429040528.pdf")</f>
        <v>MCRO_27-CR-22-7797_Finding of Incompetency and Order_2023-02-22_20240429040528.pdf</v>
      </c>
      <c r="G249" s="8" t="str">
        <f aca="false">HYPERLINK("https://mncourtfraud.com/file/b3c0276c09276736d54d7491676cb2a20c08b07c2381f84e3dc45ed5b41a0b14.png","b3c0276c09276736d54d7491676cb2a20c08b07c2381f84e3dc45ed5b41a0b14")</f>
        <v>b3c0276c09276736d54d7491676cb2a20c08b07c2381f84e3dc45ed5b41a0b14</v>
      </c>
      <c r="H249" s="1" t="s">
        <v>1460</v>
      </c>
      <c r="I249" s="3" t="s">
        <v>1533</v>
      </c>
      <c r="J249" s="1" t="s">
        <v>1482</v>
      </c>
      <c r="K249" s="3" t="n">
        <v>3550</v>
      </c>
      <c r="L249" s="15" t="s">
        <v>1496</v>
      </c>
      <c r="M249" s="1" t="s">
        <v>1484</v>
      </c>
      <c r="N249" s="9" t="n">
        <v>44978</v>
      </c>
      <c r="O249" s="10" t="s">
        <v>1534</v>
      </c>
      <c r="P249" s="1" t="n">
        <v>1470</v>
      </c>
      <c r="Q249" s="1" t="n">
        <v>150</v>
      </c>
    </row>
    <row r="250" customFormat="false" ht="18.7" hidden="false" customHeight="true" outlineLevel="0" collapsed="false">
      <c r="A250" s="1" t="n">
        <v>249</v>
      </c>
      <c r="B250" s="7" t="str">
        <f aca="false">HYPERLINK("https://mncourtfraud.com/file/CBG-2.zip","CBG-2.zip")</f>
        <v>CBG-2.zip</v>
      </c>
      <c r="C250" s="8" t="str">
        <f aca="false">HYPERLINK("https://mncourtfraud.com/file/27-CR-21-23628.pdf","27-CR-21-23628")</f>
        <v>27-CR-21-23628</v>
      </c>
      <c r="D250" s="3" t="s">
        <v>1530</v>
      </c>
      <c r="E250" s="9" t="n">
        <v>44979</v>
      </c>
      <c r="F250" s="8" t="str">
        <f aca="false">HYPERLINK("https://mncourtfraud.com/file/MCRO_27-CR-21-23628_Finding of Incompetency and Order_2023-02-22_20240430084620.pdf","MCRO_27-CR-21-23628_Finding of Incompetency and Order_2023-02-22_20240430084620.pdf")</f>
        <v>MCRO_27-CR-21-23628_Finding of Incompetency and Order_2023-02-22_20240430084620.pdf</v>
      </c>
      <c r="G250" s="8" t="str">
        <f aca="false">HYPERLINK("https://mncourtfraud.com/file/b3c0276c09276736d54d7491676cb2a20c08b07c2381f84e3dc45ed5b41a0b14.png","b3c0276c09276736d54d7491676cb2a20c08b07c2381f84e3dc45ed5b41a0b14")</f>
        <v>b3c0276c09276736d54d7491676cb2a20c08b07c2381f84e3dc45ed5b41a0b14</v>
      </c>
      <c r="H250" s="1" t="s">
        <v>1460</v>
      </c>
      <c r="I250" s="3" t="s">
        <v>1533</v>
      </c>
      <c r="J250" s="1" t="s">
        <v>1482</v>
      </c>
      <c r="K250" s="3" t="n">
        <v>3550</v>
      </c>
      <c r="L250" s="15" t="s">
        <v>1496</v>
      </c>
      <c r="M250" s="1" t="s">
        <v>1484</v>
      </c>
      <c r="N250" s="9" t="n">
        <v>44978</v>
      </c>
      <c r="O250" s="10" t="s">
        <v>1534</v>
      </c>
      <c r="P250" s="1" t="n">
        <v>1470</v>
      </c>
      <c r="Q250" s="1" t="n">
        <v>150</v>
      </c>
    </row>
    <row r="251" customFormat="false" ht="18.7" hidden="false" customHeight="true" outlineLevel="0" collapsed="false">
      <c r="A251" s="1" t="n">
        <v>250</v>
      </c>
      <c r="B251" s="7" t="str">
        <f aca="false">HYPERLINK("https://mncourtfraud.com/file/CBG-2.zip","CBG-2.zip")</f>
        <v>CBG-2.zip</v>
      </c>
      <c r="C251" s="8" t="str">
        <f aca="false">HYPERLINK("https://mncourtfraud.com/file/27-CR-22-25134.pdf","27-CR-22-25134")</f>
        <v>27-CR-22-25134</v>
      </c>
      <c r="D251" s="3" t="s">
        <v>1530</v>
      </c>
      <c r="E251" s="9" t="n">
        <v>44979</v>
      </c>
      <c r="F251" s="8" t="str">
        <f aca="false">HYPERLINK("https://mncourtfraud.com/file/MCRO_27-CR-22-25134_Finding of Incompetency and Order_2023-02-22_20240429164457.pdf","MCRO_27-CR-22-25134_Finding of Incompetency and Order_2023-02-22_20240429164457.pdf")</f>
        <v>MCRO_27-CR-22-25134_Finding of Incompetency and Order_2023-02-22_20240429164457.pdf</v>
      </c>
      <c r="G251" s="8" t="str">
        <f aca="false">HYPERLINK("https://mncourtfraud.com/file/b3c0276c09276736d54d7491676cb2a20c08b07c2381f84e3dc45ed5b41a0b14.png","b3c0276c09276736d54d7491676cb2a20c08b07c2381f84e3dc45ed5b41a0b14")</f>
        <v>b3c0276c09276736d54d7491676cb2a20c08b07c2381f84e3dc45ed5b41a0b14</v>
      </c>
      <c r="H251" s="1" t="s">
        <v>1460</v>
      </c>
      <c r="I251" s="3" t="s">
        <v>1533</v>
      </c>
      <c r="J251" s="1" t="s">
        <v>1482</v>
      </c>
      <c r="K251" s="3" t="n">
        <v>3550</v>
      </c>
      <c r="L251" s="15" t="s">
        <v>1496</v>
      </c>
      <c r="M251" s="1" t="s">
        <v>1484</v>
      </c>
      <c r="N251" s="9" t="n">
        <v>44978</v>
      </c>
      <c r="O251" s="10" t="s">
        <v>1534</v>
      </c>
      <c r="P251" s="1" t="n">
        <v>1470</v>
      </c>
      <c r="Q251" s="1" t="n">
        <v>150</v>
      </c>
    </row>
    <row r="252" customFormat="false" ht="18.7" hidden="false" customHeight="true" outlineLevel="0" collapsed="false">
      <c r="A252" s="1" t="n">
        <v>251</v>
      </c>
      <c r="B252" s="7" t="str">
        <f aca="false">HYPERLINK("https://mncourtfraud.com/file/CBG-2.zip","CBG-2.zip")</f>
        <v>CBG-2.zip</v>
      </c>
      <c r="C252" s="8" t="str">
        <f aca="false">HYPERLINK("https://mncourtfraud.com/file/27-CR-22-7797.pdf","27-CR-22-7797")</f>
        <v>27-CR-22-7797</v>
      </c>
      <c r="D252" s="3" t="s">
        <v>1530</v>
      </c>
      <c r="E252" s="9" t="n">
        <v>44979</v>
      </c>
      <c r="F252" s="8" t="str">
        <f aca="false">HYPERLINK("https://mncourtfraud.com/file/MCRO_27-CR-22-7797_Finding of Incompetency and Order_2023-02-22_20240429040528.pdf","MCRO_27-CR-22-7797_Finding of Incompetency and Order_2023-02-22_20240429040528.pdf")</f>
        <v>MCRO_27-CR-22-7797_Finding of Incompetency and Order_2023-02-22_20240429040528.pdf</v>
      </c>
      <c r="G252" s="8" t="str">
        <f aca="false">HYPERLINK("https://mncourtfraud.com/file/b3c0276c09276736d54d7491676cb2a20c08b07c2381f84e3dc45ed5b41a0b14.png","b3c0276c09276736d54d7491676cb2a20c08b07c2381f84e3dc45ed5b41a0b14")</f>
        <v>b3c0276c09276736d54d7491676cb2a20c08b07c2381f84e3dc45ed5b41a0b14</v>
      </c>
      <c r="H252" s="1" t="s">
        <v>1460</v>
      </c>
      <c r="I252" s="3" t="s">
        <v>1533</v>
      </c>
      <c r="J252" s="1" t="s">
        <v>1482</v>
      </c>
      <c r="K252" s="3" t="n">
        <v>3550</v>
      </c>
      <c r="L252" s="15" t="s">
        <v>1496</v>
      </c>
      <c r="M252" s="1" t="s">
        <v>1484</v>
      </c>
      <c r="N252" s="9" t="n">
        <v>44978</v>
      </c>
      <c r="O252" s="10" t="s">
        <v>1534</v>
      </c>
      <c r="P252" s="1" t="n">
        <v>1470</v>
      </c>
      <c r="Q252" s="1" t="n">
        <v>150</v>
      </c>
    </row>
    <row r="253" customFormat="false" ht="18.7" hidden="false" customHeight="true" outlineLevel="0" collapsed="false">
      <c r="A253" s="1" t="n">
        <v>252</v>
      </c>
      <c r="E253" s="9"/>
      <c r="K253" s="3"/>
      <c r="L253" s="15"/>
      <c r="N253" s="9"/>
      <c r="O253" s="10"/>
      <c r="P253" s="1"/>
      <c r="Q253" s="1"/>
    </row>
    <row r="254" customFormat="false" ht="18.7" hidden="false" customHeight="true" outlineLevel="0" collapsed="false">
      <c r="A254" s="1" t="n">
        <v>253</v>
      </c>
      <c r="B254" s="7" t="str">
        <f aca="false">HYPERLINK("https://mncourtfraud.com/file/CBG-3.zip","CBG-3.zip")</f>
        <v>CBG-3.zip</v>
      </c>
      <c r="C254" s="8" t="str">
        <f aca="false">HYPERLINK("https://mncourtfraud.com/file/27-CR-21-23628.pdf","27-CR-21-23628")</f>
        <v>27-CR-21-23628</v>
      </c>
      <c r="D254" s="3" t="s">
        <v>1530</v>
      </c>
      <c r="E254" s="9" t="n">
        <v>44944</v>
      </c>
      <c r="F254" s="8" t="str">
        <f aca="false">HYPERLINK("https://mncourtfraud.com/file/MCRO_27-CR-21-23628_Order-Evaluation for Competency to Proceed (Rule 20.01)_2023-01-18_20240430084621.pdf","MCRO_27-CR-21-23628_Order-Evaluation for Competency to Proceed (Rule 20.01)_2023-01-18_20240430084621.pdf")</f>
        <v>MCRO_27-CR-21-23628_Order-Evaluation for Competency to Proceed (Rule 20.01)_2023-01-18_20240430084621.pdf</v>
      </c>
      <c r="G254" s="8" t="str">
        <f aca="false">HYPERLINK("https://mncourtfraud.com/file/d5a38706104070289aa5ddc672d28a0ed129e178513804edfc8b0cf43e6ad9e0.png","d5a38706104070289aa5ddc672d28a0ed129e178513804edfc8b0cf43e6ad9e0")</f>
        <v>d5a38706104070289aa5ddc672d28a0ed129e178513804edfc8b0cf43e6ad9e0</v>
      </c>
      <c r="H254" s="1" t="s">
        <v>1460</v>
      </c>
      <c r="I254" s="3" t="s">
        <v>1535</v>
      </c>
      <c r="J254" s="1" t="s">
        <v>1482</v>
      </c>
      <c r="K254" s="3" t="n">
        <v>3820</v>
      </c>
      <c r="L254" s="15" t="s">
        <v>1496</v>
      </c>
      <c r="M254" s="1" t="s">
        <v>1484</v>
      </c>
      <c r="N254" s="9" t="n">
        <v>44944</v>
      </c>
      <c r="O254" s="10" t="s">
        <v>1536</v>
      </c>
      <c r="P254" s="1" t="n">
        <v>2100</v>
      </c>
      <c r="Q254" s="1" t="n">
        <v>150</v>
      </c>
    </row>
    <row r="255" customFormat="false" ht="18.7" hidden="false" customHeight="true" outlineLevel="0" collapsed="false">
      <c r="A255" s="1" t="n">
        <v>254</v>
      </c>
      <c r="B255" s="7" t="str">
        <f aca="false">HYPERLINK("https://mncourtfraud.com/file/CBG-3.zip","CBG-3.zip")</f>
        <v>CBG-3.zip</v>
      </c>
      <c r="C255" s="8" t="str">
        <f aca="false">HYPERLINK("https://mncourtfraud.com/file/27-CR-22-25134.pdf","27-CR-22-25134")</f>
        <v>27-CR-22-25134</v>
      </c>
      <c r="D255" s="3" t="s">
        <v>1530</v>
      </c>
      <c r="E255" s="9" t="n">
        <v>44944</v>
      </c>
      <c r="F255" s="8" t="str">
        <f aca="false">HYPERLINK("https://mncourtfraud.com/file/MCRO_27-CR-22-25134_Order-Evaluation for Competency to Proceed (Rule 20.01)_2023-01-18_20240429164458.pdf","MCRO_27-CR-22-25134_Order-Evaluation for Competency to Proceed (Rule 20.01)_2023-01-18_20240429164458.pdf")</f>
        <v>MCRO_27-CR-22-25134_Order-Evaluation for Competency to Proceed (Rule 20.01)_2023-01-18_20240429164458.pdf</v>
      </c>
      <c r="G255" s="8" t="str">
        <f aca="false">HYPERLINK("https://mncourtfraud.com/file/d5a38706104070289aa5ddc672d28a0ed129e178513804edfc8b0cf43e6ad9e0.png","d5a38706104070289aa5ddc672d28a0ed129e178513804edfc8b0cf43e6ad9e0")</f>
        <v>d5a38706104070289aa5ddc672d28a0ed129e178513804edfc8b0cf43e6ad9e0</v>
      </c>
      <c r="H255" s="1" t="s">
        <v>1460</v>
      </c>
      <c r="I255" s="3" t="s">
        <v>1535</v>
      </c>
      <c r="J255" s="1" t="s">
        <v>1482</v>
      </c>
      <c r="K255" s="3" t="n">
        <v>3820</v>
      </c>
      <c r="L255" s="15" t="s">
        <v>1496</v>
      </c>
      <c r="M255" s="1" t="s">
        <v>1484</v>
      </c>
      <c r="N255" s="9" t="n">
        <v>44944</v>
      </c>
      <c r="O255" s="10" t="s">
        <v>1536</v>
      </c>
      <c r="P255" s="1" t="n">
        <v>2100</v>
      </c>
      <c r="Q255" s="1" t="n">
        <v>150</v>
      </c>
    </row>
    <row r="256" customFormat="false" ht="18.7" hidden="false" customHeight="true" outlineLevel="0" collapsed="false">
      <c r="A256" s="1" t="n">
        <v>255</v>
      </c>
      <c r="B256" s="7" t="str">
        <f aca="false">HYPERLINK("https://mncourtfraud.com/file/CBG-3.zip","CBG-3.zip")</f>
        <v>CBG-3.zip</v>
      </c>
      <c r="C256" s="8" t="str">
        <f aca="false">HYPERLINK("https://mncourtfraud.com/file/27-CR-22-7797.pdf","27-CR-22-7797")</f>
        <v>27-CR-22-7797</v>
      </c>
      <c r="D256" s="3" t="s">
        <v>1530</v>
      </c>
      <c r="E256" s="9" t="n">
        <v>44944</v>
      </c>
      <c r="F256" s="8" t="str">
        <f aca="false">HYPERLINK("https://mncourtfraud.com/file/MCRO_27-CR-22-7797_Order-Evaluation for Competency to Proceed (Rule 20.01)_2023-01-18_20240429040529.pdf","MCRO_27-CR-22-7797_Order-Evaluation for Competency to Proceed (Rule 20.01)_2023-01-18_20240429040529.pdf")</f>
        <v>MCRO_27-CR-22-7797_Order-Evaluation for Competency to Proceed (Rule 20.01)_2023-01-18_20240429040529.pdf</v>
      </c>
      <c r="G256" s="8" t="str">
        <f aca="false">HYPERLINK("https://mncourtfraud.com/file/d5a38706104070289aa5ddc672d28a0ed129e178513804edfc8b0cf43e6ad9e0.png","d5a38706104070289aa5ddc672d28a0ed129e178513804edfc8b0cf43e6ad9e0")</f>
        <v>d5a38706104070289aa5ddc672d28a0ed129e178513804edfc8b0cf43e6ad9e0</v>
      </c>
      <c r="H256" s="1" t="s">
        <v>1460</v>
      </c>
      <c r="I256" s="3" t="s">
        <v>1535</v>
      </c>
      <c r="J256" s="1" t="s">
        <v>1482</v>
      </c>
      <c r="K256" s="3" t="n">
        <v>3820</v>
      </c>
      <c r="L256" s="15" t="s">
        <v>1496</v>
      </c>
      <c r="M256" s="1" t="s">
        <v>1484</v>
      </c>
      <c r="N256" s="9" t="n">
        <v>44944</v>
      </c>
      <c r="O256" s="10" t="s">
        <v>1536</v>
      </c>
      <c r="P256" s="1" t="n">
        <v>2100</v>
      </c>
      <c r="Q256" s="1" t="n">
        <v>150</v>
      </c>
    </row>
    <row r="257" customFormat="false" ht="18.7" hidden="false" customHeight="true" outlineLevel="0" collapsed="false">
      <c r="A257" s="1" t="n">
        <v>256</v>
      </c>
      <c r="B257" s="7" t="str">
        <f aca="false">HYPERLINK("https://mncourtfraud.com/file/CBG-3.zip","CBG-3.zip")</f>
        <v>CBG-3.zip</v>
      </c>
      <c r="C257" s="8" t="str">
        <f aca="false">HYPERLINK("https://mncourtfraud.com/file/27-CR-21-23628.pdf","27-CR-21-23628")</f>
        <v>27-CR-21-23628</v>
      </c>
      <c r="D257" s="3" t="s">
        <v>1530</v>
      </c>
      <c r="E257" s="9" t="n">
        <v>44944</v>
      </c>
      <c r="F257" s="8" t="str">
        <f aca="false">HYPERLINK("https://mncourtfraud.com/file/MCRO_27-CR-21-23628_Order-Evaluation for Competency to Proceed (Rule 20.01)_2023-01-18_20240430084621.pdf","MCRO_27-CR-21-23628_Order-Evaluation for Competency to Proceed (Rule 20.01)_2023-01-18_20240430084621.pdf")</f>
        <v>MCRO_27-CR-21-23628_Order-Evaluation for Competency to Proceed (Rule 20.01)_2023-01-18_20240430084621.pdf</v>
      </c>
      <c r="G257" s="8" t="str">
        <f aca="false">HYPERLINK("https://mncourtfraud.com/file/d5a38706104070289aa5ddc672d28a0ed129e178513804edfc8b0cf43e6ad9e0.png","d5a38706104070289aa5ddc672d28a0ed129e178513804edfc8b0cf43e6ad9e0")</f>
        <v>d5a38706104070289aa5ddc672d28a0ed129e178513804edfc8b0cf43e6ad9e0</v>
      </c>
      <c r="H257" s="1" t="s">
        <v>1460</v>
      </c>
      <c r="I257" s="3" t="s">
        <v>1535</v>
      </c>
      <c r="J257" s="1" t="s">
        <v>1482</v>
      </c>
      <c r="K257" s="3" t="n">
        <v>3820</v>
      </c>
      <c r="L257" s="15" t="s">
        <v>1496</v>
      </c>
      <c r="M257" s="1" t="s">
        <v>1484</v>
      </c>
      <c r="N257" s="9" t="n">
        <v>44944</v>
      </c>
      <c r="O257" s="10" t="s">
        <v>1536</v>
      </c>
      <c r="P257" s="1" t="n">
        <v>2100</v>
      </c>
      <c r="Q257" s="1" t="n">
        <v>150</v>
      </c>
    </row>
    <row r="258" customFormat="false" ht="18.7" hidden="false" customHeight="true" outlineLevel="0" collapsed="false">
      <c r="A258" s="1" t="n">
        <v>257</v>
      </c>
      <c r="B258" s="7" t="str">
        <f aca="false">HYPERLINK("https://mncourtfraud.com/file/CBG-3.zip","CBG-3.zip")</f>
        <v>CBG-3.zip</v>
      </c>
      <c r="C258" s="8" t="str">
        <f aca="false">HYPERLINK("https://mncourtfraud.com/file/27-CR-22-25134.pdf","27-CR-22-25134")</f>
        <v>27-CR-22-25134</v>
      </c>
      <c r="D258" s="3" t="s">
        <v>1530</v>
      </c>
      <c r="E258" s="9" t="n">
        <v>44944</v>
      </c>
      <c r="F258" s="8" t="str">
        <f aca="false">HYPERLINK("https://mncourtfraud.com/file/MCRO_27-CR-22-25134_Order-Evaluation for Competency to Proceed (Rule 20.01)_2023-01-18_20240429164458.pdf","MCRO_27-CR-22-25134_Order-Evaluation for Competency to Proceed (Rule 20.01)_2023-01-18_20240429164458.pdf")</f>
        <v>MCRO_27-CR-22-25134_Order-Evaluation for Competency to Proceed (Rule 20.01)_2023-01-18_20240429164458.pdf</v>
      </c>
      <c r="G258" s="8" t="str">
        <f aca="false">HYPERLINK("https://mncourtfraud.com/file/d5a38706104070289aa5ddc672d28a0ed129e178513804edfc8b0cf43e6ad9e0.png","d5a38706104070289aa5ddc672d28a0ed129e178513804edfc8b0cf43e6ad9e0")</f>
        <v>d5a38706104070289aa5ddc672d28a0ed129e178513804edfc8b0cf43e6ad9e0</v>
      </c>
      <c r="H258" s="1" t="s">
        <v>1460</v>
      </c>
      <c r="I258" s="3" t="s">
        <v>1535</v>
      </c>
      <c r="J258" s="1" t="s">
        <v>1482</v>
      </c>
      <c r="K258" s="3" t="n">
        <v>3820</v>
      </c>
      <c r="L258" s="15" t="s">
        <v>1496</v>
      </c>
      <c r="M258" s="1" t="s">
        <v>1484</v>
      </c>
      <c r="N258" s="9" t="n">
        <v>44944</v>
      </c>
      <c r="O258" s="10" t="s">
        <v>1536</v>
      </c>
      <c r="P258" s="1" t="n">
        <v>2100</v>
      </c>
      <c r="Q258" s="1" t="n">
        <v>150</v>
      </c>
    </row>
    <row r="259" customFormat="false" ht="18.7" hidden="false" customHeight="true" outlineLevel="0" collapsed="false">
      <c r="A259" s="1" t="n">
        <v>258</v>
      </c>
      <c r="B259" s="7" t="str">
        <f aca="false">HYPERLINK("https://mncourtfraud.com/file/CBG-3.zip","CBG-3.zip")</f>
        <v>CBG-3.zip</v>
      </c>
      <c r="C259" s="8" t="str">
        <f aca="false">HYPERLINK("https://mncourtfraud.com/file/27-CR-22-7797.pdf","27-CR-22-7797")</f>
        <v>27-CR-22-7797</v>
      </c>
      <c r="D259" s="3" t="s">
        <v>1530</v>
      </c>
      <c r="E259" s="9" t="n">
        <v>44944</v>
      </c>
      <c r="F259" s="8" t="str">
        <f aca="false">HYPERLINK("https://mncourtfraud.com/file/MCRO_27-CR-22-7797_Order-Evaluation for Competency to Proceed (Rule 20.01)_2023-01-18_20240429040529.pdf","MCRO_27-CR-22-7797_Order-Evaluation for Competency to Proceed (Rule 20.01)_2023-01-18_20240429040529.pdf")</f>
        <v>MCRO_27-CR-22-7797_Order-Evaluation for Competency to Proceed (Rule 20.01)_2023-01-18_20240429040529.pdf</v>
      </c>
      <c r="G259" s="8" t="str">
        <f aca="false">HYPERLINK("https://mncourtfraud.com/file/d5a38706104070289aa5ddc672d28a0ed129e178513804edfc8b0cf43e6ad9e0.png","d5a38706104070289aa5ddc672d28a0ed129e178513804edfc8b0cf43e6ad9e0")</f>
        <v>d5a38706104070289aa5ddc672d28a0ed129e178513804edfc8b0cf43e6ad9e0</v>
      </c>
      <c r="H259" s="1" t="s">
        <v>1460</v>
      </c>
      <c r="I259" s="3" t="s">
        <v>1535</v>
      </c>
      <c r="J259" s="1" t="s">
        <v>1482</v>
      </c>
      <c r="K259" s="3" t="n">
        <v>3820</v>
      </c>
      <c r="L259" s="15" t="s">
        <v>1496</v>
      </c>
      <c r="M259" s="1" t="s">
        <v>1484</v>
      </c>
      <c r="N259" s="9" t="n">
        <v>44944</v>
      </c>
      <c r="O259" s="10" t="s">
        <v>1536</v>
      </c>
      <c r="P259" s="1" t="n">
        <v>2100</v>
      </c>
      <c r="Q259" s="1" t="n">
        <v>150</v>
      </c>
    </row>
    <row r="260" customFormat="false" ht="18.7" hidden="false" customHeight="true" outlineLevel="0" collapsed="false">
      <c r="A260" s="1" t="n">
        <v>259</v>
      </c>
      <c r="E260" s="9"/>
      <c r="K260" s="3"/>
      <c r="L260" s="15"/>
      <c r="N260" s="9"/>
      <c r="O260" s="10"/>
      <c r="P260" s="1"/>
      <c r="Q260" s="1"/>
    </row>
    <row r="261" customFormat="false" ht="18.7" hidden="false" customHeight="true" outlineLevel="0" collapsed="false">
      <c r="A261" s="1" t="n">
        <v>260</v>
      </c>
      <c r="B261" s="7" t="str">
        <f aca="false">HYPERLINK("https://mncourtfraud.com/file/CBG-4.zip","CBG-4.zip")</f>
        <v>CBG-4.zip</v>
      </c>
      <c r="C261" s="8" t="str">
        <f aca="false">HYPERLINK("https://mncourtfraud.com/file/27-CR-21-23628.pdf","27-CR-21-23628")</f>
        <v>27-CR-21-23628</v>
      </c>
      <c r="D261" s="3" t="s">
        <v>1530</v>
      </c>
      <c r="E261" s="9" t="n">
        <v>45356</v>
      </c>
      <c r="F261" s="8" t="str">
        <f aca="false">HYPERLINK("https://mncourtfraud.com/file/MCRO_27-CR-21-23628_Finding of Incompetency and Order_2024-03-05_20240430084617.pdf","MCRO_27-CR-21-23628_Finding of Incompetency and Order_2024-03-05_20240430084617.pdf")</f>
        <v>MCRO_27-CR-21-23628_Finding of Incompetency and Order_2024-03-05_20240430084617.pdf</v>
      </c>
      <c r="G261" s="8" t="str">
        <f aca="false">HYPERLINK("https://mncourtfraud.com/file/e73329088b4cb4e05e7afad54ffc804ead31b118bb9fbf257776bbf8961b5d6d.png","e73329088b4cb4e05e7afad54ffc804ead31b118bb9fbf257776bbf8961b5d6d")</f>
        <v>e73329088b4cb4e05e7afad54ffc804ead31b118bb9fbf257776bbf8961b5d6d</v>
      </c>
      <c r="H261" s="1" t="s">
        <v>1460</v>
      </c>
      <c r="I261" s="3" t="s">
        <v>1537</v>
      </c>
      <c r="J261" s="1" t="s">
        <v>1482</v>
      </c>
      <c r="K261" s="3" t="n">
        <v>2896</v>
      </c>
      <c r="L261" s="15" t="s">
        <v>1487</v>
      </c>
      <c r="M261" s="1" t="s">
        <v>1484</v>
      </c>
      <c r="N261" s="9" t="n">
        <v>45356</v>
      </c>
      <c r="O261" s="10" t="s">
        <v>1497</v>
      </c>
      <c r="P261" s="1" t="n">
        <v>1820</v>
      </c>
      <c r="Q261" s="1" t="n">
        <v>130</v>
      </c>
    </row>
    <row r="262" customFormat="false" ht="18.7" hidden="false" customHeight="true" outlineLevel="0" collapsed="false">
      <c r="A262" s="1" t="n">
        <v>261</v>
      </c>
      <c r="B262" s="7" t="str">
        <f aca="false">HYPERLINK("https://mncourtfraud.com/file/CBG-4.zip","CBG-4.zip")</f>
        <v>CBG-4.zip</v>
      </c>
      <c r="C262" s="8" t="str">
        <f aca="false">HYPERLINK("https://mncourtfraud.com/file/27-CR-22-25134.pdf","27-CR-22-25134")</f>
        <v>27-CR-22-25134</v>
      </c>
      <c r="D262" s="3" t="s">
        <v>1530</v>
      </c>
      <c r="E262" s="9" t="n">
        <v>45356</v>
      </c>
      <c r="F262" s="8" t="str">
        <f aca="false">HYPERLINK("https://mncourtfraud.com/file/MCRO_27-CR-22-25134_Finding of Incompetency and Order_2024-03-05_20240429164453.pdf","MCRO_27-CR-22-25134_Finding of Incompetency and Order_2024-03-05_20240429164453.pdf")</f>
        <v>MCRO_27-CR-22-25134_Finding of Incompetency and Order_2024-03-05_20240429164453.pdf</v>
      </c>
      <c r="G262" s="8" t="str">
        <f aca="false">HYPERLINK("https://mncourtfraud.com/file/e73329088b4cb4e05e7afad54ffc804ead31b118bb9fbf257776bbf8961b5d6d.png","e73329088b4cb4e05e7afad54ffc804ead31b118bb9fbf257776bbf8961b5d6d")</f>
        <v>e73329088b4cb4e05e7afad54ffc804ead31b118bb9fbf257776bbf8961b5d6d</v>
      </c>
      <c r="H262" s="1" t="s">
        <v>1460</v>
      </c>
      <c r="I262" s="3" t="s">
        <v>1537</v>
      </c>
      <c r="J262" s="1" t="s">
        <v>1482</v>
      </c>
      <c r="K262" s="3" t="n">
        <v>2896</v>
      </c>
      <c r="L262" s="15" t="s">
        <v>1487</v>
      </c>
      <c r="M262" s="1" t="s">
        <v>1484</v>
      </c>
      <c r="N262" s="9" t="n">
        <v>45356</v>
      </c>
      <c r="O262" s="10" t="s">
        <v>1497</v>
      </c>
      <c r="P262" s="1" t="n">
        <v>1820</v>
      </c>
      <c r="Q262" s="1" t="n">
        <v>130</v>
      </c>
    </row>
    <row r="263" customFormat="false" ht="18.7" hidden="false" customHeight="true" outlineLevel="0" collapsed="false">
      <c r="A263" s="1" t="n">
        <v>262</v>
      </c>
      <c r="B263" s="7" t="str">
        <f aca="false">HYPERLINK("https://mncourtfraud.com/file/CBG-4.zip","CBG-4.zip")</f>
        <v>CBG-4.zip</v>
      </c>
      <c r="C263" s="8" t="str">
        <f aca="false">HYPERLINK("https://mncourtfraud.com/file/27-CR-22-7797.pdf","27-CR-22-7797")</f>
        <v>27-CR-22-7797</v>
      </c>
      <c r="D263" s="3" t="s">
        <v>1530</v>
      </c>
      <c r="E263" s="9" t="n">
        <v>45356</v>
      </c>
      <c r="F263" s="8" t="str">
        <f aca="false">HYPERLINK("https://mncourtfraud.com/file/MCRO_27-CR-22-7797_Finding of Incompetency and Order_2024-03-05_20240429040524.pdf","MCRO_27-CR-22-7797_Finding of Incompetency and Order_2024-03-05_20240429040524.pdf")</f>
        <v>MCRO_27-CR-22-7797_Finding of Incompetency and Order_2024-03-05_20240429040524.pdf</v>
      </c>
      <c r="G263" s="8" t="str">
        <f aca="false">HYPERLINK("https://mncourtfraud.com/file/e73329088b4cb4e05e7afad54ffc804ead31b118bb9fbf257776bbf8961b5d6d.png","e73329088b4cb4e05e7afad54ffc804ead31b118bb9fbf257776bbf8961b5d6d")</f>
        <v>e73329088b4cb4e05e7afad54ffc804ead31b118bb9fbf257776bbf8961b5d6d</v>
      </c>
      <c r="H263" s="1" t="s">
        <v>1460</v>
      </c>
      <c r="I263" s="3" t="s">
        <v>1537</v>
      </c>
      <c r="J263" s="1" t="s">
        <v>1482</v>
      </c>
      <c r="K263" s="3" t="n">
        <v>2896</v>
      </c>
      <c r="L263" s="15" t="s">
        <v>1487</v>
      </c>
      <c r="M263" s="1" t="s">
        <v>1484</v>
      </c>
      <c r="N263" s="9" t="n">
        <v>45356</v>
      </c>
      <c r="O263" s="10" t="s">
        <v>1497</v>
      </c>
      <c r="P263" s="1" t="n">
        <v>1820</v>
      </c>
      <c r="Q263" s="1" t="n">
        <v>130</v>
      </c>
    </row>
    <row r="264" customFormat="false" ht="18.7" hidden="false" customHeight="true" outlineLevel="0" collapsed="false">
      <c r="A264" s="1" t="n">
        <v>263</v>
      </c>
      <c r="E264" s="9"/>
      <c r="K264" s="3"/>
      <c r="L264" s="15"/>
      <c r="N264" s="9"/>
      <c r="O264" s="10"/>
      <c r="P264" s="1"/>
      <c r="Q264" s="1"/>
    </row>
    <row r="265" customFormat="false" ht="18.7" hidden="false" customHeight="true" outlineLevel="0" collapsed="false">
      <c r="A265" s="1" t="n">
        <v>264</v>
      </c>
      <c r="B265" s="7" t="str">
        <f aca="false">HYPERLINK("https://mncourtfraud.com/file/RAB-14.zip","RAB-14.zip")</f>
        <v>RAB-14.zip</v>
      </c>
      <c r="C265" s="8" t="str">
        <f aca="false">HYPERLINK("https://mncourtfraud.com/file/27-CR-20-6517.pdf","27-CR-20-6517")</f>
        <v>27-CR-20-6517</v>
      </c>
      <c r="D265" s="3" t="s">
        <v>260</v>
      </c>
      <c r="E265" s="9" t="n">
        <v>44993</v>
      </c>
      <c r="F265" s="8" t="str">
        <f aca="false">HYPERLINK("https://mncourtfraud.com/file/MCRO_27-CR-20-6517_Finding of Incompetency and Order_2023-03-08_20240430085208.pdf","MCRO_27-CR-20-6517_Finding of Incompetency and Order_2023-03-08_20240430085208.pdf")</f>
        <v>MCRO_27-CR-20-6517_Finding of Incompetency and Order_2023-03-08_20240430085208.pdf</v>
      </c>
      <c r="G265" s="8" t="str">
        <f aca="false">HYPERLINK("https://mncourtfraud.com/file/301d47d556670302b9cdfa702272ec0dee89eadcadf4187f27f0c6c76a469970.png","301d47d556670302b9cdfa702272ec0dee89eadcadf4187f27f0c6c76a469970")</f>
        <v>301d47d556670302b9cdfa702272ec0dee89eadcadf4187f27f0c6c76a469970</v>
      </c>
      <c r="H265" s="1" t="s">
        <v>1460</v>
      </c>
      <c r="I265" s="3" t="s">
        <v>1538</v>
      </c>
      <c r="J265" s="1" t="s">
        <v>1482</v>
      </c>
      <c r="K265" s="3" t="n">
        <v>3856</v>
      </c>
      <c r="L265" s="15" t="s">
        <v>1483</v>
      </c>
      <c r="M265" s="1" t="s">
        <v>1484</v>
      </c>
      <c r="N265" s="9" t="n">
        <v>44992</v>
      </c>
      <c r="O265" s="10" t="s">
        <v>1539</v>
      </c>
      <c r="P265" s="1" t="n">
        <v>1750</v>
      </c>
      <c r="Q265" s="1" t="n">
        <v>160</v>
      </c>
    </row>
    <row r="266" customFormat="false" ht="18.7" hidden="false" customHeight="true" outlineLevel="0" collapsed="false">
      <c r="A266" s="1" t="n">
        <v>265</v>
      </c>
      <c r="B266" s="7" t="str">
        <f aca="false">HYPERLINK("https://mncourtfraud.com/file/RAB-14.zip","RAB-14.zip")</f>
        <v>RAB-14.zip</v>
      </c>
      <c r="C266" s="8" t="str">
        <f aca="false">HYPERLINK("https://mncourtfraud.com/file/27-CR-20-6517.pdf","27-CR-20-6517")</f>
        <v>27-CR-20-6517</v>
      </c>
      <c r="D266" s="3" t="s">
        <v>260</v>
      </c>
      <c r="E266" s="9" t="n">
        <v>44993</v>
      </c>
      <c r="F266" s="8" t="str">
        <f aca="false">HYPERLINK("https://mncourtfraud.com/file/MCRO_27-CR-20-6517_Finding of Incompetency and Order_2023-03-08_20240430085208.pdf","MCRO_27-CR-20-6517_Finding of Incompetency and Order_2023-03-08_20240430085208.pdf")</f>
        <v>MCRO_27-CR-20-6517_Finding of Incompetency and Order_2023-03-08_20240430085208.pdf</v>
      </c>
      <c r="G266" s="8" t="str">
        <f aca="false">HYPERLINK("https://mncourtfraud.com/file/301d47d556670302b9cdfa702272ec0dee89eadcadf4187f27f0c6c76a469970.png","301d47d556670302b9cdfa702272ec0dee89eadcadf4187f27f0c6c76a469970")</f>
        <v>301d47d556670302b9cdfa702272ec0dee89eadcadf4187f27f0c6c76a469970</v>
      </c>
      <c r="H266" s="1" t="s">
        <v>1460</v>
      </c>
      <c r="I266" s="3" t="s">
        <v>1538</v>
      </c>
      <c r="J266" s="1" t="s">
        <v>1482</v>
      </c>
      <c r="K266" s="3" t="n">
        <v>3856</v>
      </c>
      <c r="L266" s="15" t="s">
        <v>1483</v>
      </c>
      <c r="M266" s="1" t="s">
        <v>1484</v>
      </c>
      <c r="N266" s="9" t="n">
        <v>44992</v>
      </c>
      <c r="O266" s="10" t="s">
        <v>1539</v>
      </c>
      <c r="P266" s="1" t="n">
        <v>1750</v>
      </c>
      <c r="Q266" s="1" t="n">
        <v>160</v>
      </c>
    </row>
    <row r="267" customFormat="false" ht="18.7" hidden="false" customHeight="true" outlineLevel="0" collapsed="false">
      <c r="A267" s="1" t="n">
        <v>266</v>
      </c>
      <c r="B267" s="7" t="str">
        <f aca="false">HYPERLINK("https://mncourtfraud.com/file/RAB-14.zip","RAB-14.zip")</f>
        <v>RAB-14.zip</v>
      </c>
      <c r="C267" s="8" t="str">
        <f aca="false">HYPERLINK("https://mncourtfraud.com/file/27-CR-21-23131.pdf","27-CR-21-23131")</f>
        <v>27-CR-21-23131</v>
      </c>
      <c r="D267" s="3" t="s">
        <v>260</v>
      </c>
      <c r="E267" s="9" t="n">
        <v>44993</v>
      </c>
      <c r="F267" s="8" t="str">
        <f aca="false">HYPERLINK("https://mncourtfraud.com/file/MCRO_27-CR-21-23131_Finding of Incompetency and Order_2023-03-08_20240430083650.pdf","MCRO_27-CR-21-23131_Finding of Incompetency and Order_2023-03-08_20240430083650.pdf")</f>
        <v>MCRO_27-CR-21-23131_Finding of Incompetency and Order_2023-03-08_20240430083650.pdf</v>
      </c>
      <c r="G267" s="8" t="str">
        <f aca="false">HYPERLINK("https://mncourtfraud.com/file/301d47d556670302b9cdfa702272ec0dee89eadcadf4187f27f0c6c76a469970.png","301d47d556670302b9cdfa702272ec0dee89eadcadf4187f27f0c6c76a469970")</f>
        <v>301d47d556670302b9cdfa702272ec0dee89eadcadf4187f27f0c6c76a469970</v>
      </c>
      <c r="H267" s="1" t="s">
        <v>1460</v>
      </c>
      <c r="I267" s="3" t="s">
        <v>1538</v>
      </c>
      <c r="J267" s="1" t="s">
        <v>1482</v>
      </c>
      <c r="K267" s="3" t="n">
        <v>3856</v>
      </c>
      <c r="L267" s="15" t="s">
        <v>1483</v>
      </c>
      <c r="M267" s="1" t="s">
        <v>1484</v>
      </c>
      <c r="N267" s="9" t="n">
        <v>44992</v>
      </c>
      <c r="O267" s="10" t="s">
        <v>1539</v>
      </c>
      <c r="P267" s="1" t="n">
        <v>1750</v>
      </c>
      <c r="Q267" s="1" t="n">
        <v>160</v>
      </c>
    </row>
    <row r="268" customFormat="false" ht="18.7" hidden="false" customHeight="true" outlineLevel="0" collapsed="false">
      <c r="A268" s="1" t="n">
        <v>267</v>
      </c>
      <c r="B268" s="7" t="str">
        <f aca="false">HYPERLINK("https://mncourtfraud.com/file/RAB-14.zip","RAB-14.zip")</f>
        <v>RAB-14.zip</v>
      </c>
      <c r="C268" s="8" t="str">
        <f aca="false">HYPERLINK("https://mncourtfraud.com/file/27-CR-21-23131.pdf","27-CR-21-23131")</f>
        <v>27-CR-21-23131</v>
      </c>
      <c r="D268" s="3" t="s">
        <v>260</v>
      </c>
      <c r="E268" s="9" t="n">
        <v>44993</v>
      </c>
      <c r="F268" s="8" t="str">
        <f aca="false">HYPERLINK("https://mncourtfraud.com/file/MCRO_27-CR-21-23131_Finding of Incompetency and Order_2023-03-08_20240430083650.pdf","MCRO_27-CR-21-23131_Finding of Incompetency and Order_2023-03-08_20240430083650.pdf")</f>
        <v>MCRO_27-CR-21-23131_Finding of Incompetency and Order_2023-03-08_20240430083650.pdf</v>
      </c>
      <c r="G268" s="8" t="str">
        <f aca="false">HYPERLINK("https://mncourtfraud.com/file/301d47d556670302b9cdfa702272ec0dee89eadcadf4187f27f0c6c76a469970.png","301d47d556670302b9cdfa702272ec0dee89eadcadf4187f27f0c6c76a469970")</f>
        <v>301d47d556670302b9cdfa702272ec0dee89eadcadf4187f27f0c6c76a469970</v>
      </c>
      <c r="H268" s="1" t="s">
        <v>1460</v>
      </c>
      <c r="I268" s="3" t="s">
        <v>1538</v>
      </c>
      <c r="J268" s="1" t="s">
        <v>1482</v>
      </c>
      <c r="K268" s="3" t="n">
        <v>3856</v>
      </c>
      <c r="L268" s="15" t="s">
        <v>1483</v>
      </c>
      <c r="M268" s="1" t="s">
        <v>1484</v>
      </c>
      <c r="N268" s="9" t="n">
        <v>44992</v>
      </c>
      <c r="O268" s="10" t="s">
        <v>1539</v>
      </c>
      <c r="P268" s="1" t="n">
        <v>1750</v>
      </c>
      <c r="Q268" s="1" t="n">
        <v>160</v>
      </c>
    </row>
    <row r="269" customFormat="false" ht="18.7" hidden="false" customHeight="true" outlineLevel="0" collapsed="false">
      <c r="A269" s="1" t="n">
        <v>268</v>
      </c>
      <c r="B269" s="7" t="str">
        <f aca="false">HYPERLINK("https://mncourtfraud.com/file/RAB-14.zip","RAB-14.zip")</f>
        <v>RAB-14.zip</v>
      </c>
      <c r="C269" s="8" t="str">
        <f aca="false">HYPERLINK("https://mncourtfraud.com/file/27-CR-22-24627.pdf","27-CR-22-24627")</f>
        <v>27-CR-22-24627</v>
      </c>
      <c r="D269" s="3" t="s">
        <v>260</v>
      </c>
      <c r="E269" s="9" t="n">
        <v>44993</v>
      </c>
      <c r="F269" s="8" t="str">
        <f aca="false">HYPERLINK("https://mncourtfraud.com/file/MCRO_27-CR-22-24627_Finding of Incompetency and Order_2023-03-08_20240429164355.pdf","MCRO_27-CR-22-24627_Finding of Incompetency and Order_2023-03-08_20240429164355.pdf")</f>
        <v>MCRO_27-CR-22-24627_Finding of Incompetency and Order_2023-03-08_20240429164355.pdf</v>
      </c>
      <c r="G269" s="8" t="str">
        <f aca="false">HYPERLINK("https://mncourtfraud.com/file/301d47d556670302b9cdfa702272ec0dee89eadcadf4187f27f0c6c76a469970.png","301d47d556670302b9cdfa702272ec0dee89eadcadf4187f27f0c6c76a469970")</f>
        <v>301d47d556670302b9cdfa702272ec0dee89eadcadf4187f27f0c6c76a469970</v>
      </c>
      <c r="H269" s="1" t="s">
        <v>1460</v>
      </c>
      <c r="I269" s="3" t="s">
        <v>1538</v>
      </c>
      <c r="J269" s="1" t="s">
        <v>1482</v>
      </c>
      <c r="K269" s="3" t="n">
        <v>3856</v>
      </c>
      <c r="L269" s="15" t="s">
        <v>1483</v>
      </c>
      <c r="M269" s="1" t="s">
        <v>1484</v>
      </c>
      <c r="N269" s="9" t="n">
        <v>44992</v>
      </c>
      <c r="O269" s="10" t="s">
        <v>1539</v>
      </c>
      <c r="P269" s="1" t="n">
        <v>1750</v>
      </c>
      <c r="Q269" s="1" t="n">
        <v>160</v>
      </c>
    </row>
    <row r="270" customFormat="false" ht="18.7" hidden="false" customHeight="true" outlineLevel="0" collapsed="false">
      <c r="A270" s="1" t="n">
        <v>269</v>
      </c>
      <c r="B270" s="7" t="str">
        <f aca="false">HYPERLINK("https://mncourtfraud.com/file/RAB-14.zip","RAB-14.zip")</f>
        <v>RAB-14.zip</v>
      </c>
      <c r="C270" s="8" t="str">
        <f aca="false">HYPERLINK("https://mncourtfraud.com/file/27-CR-22-24627.pdf","27-CR-22-24627")</f>
        <v>27-CR-22-24627</v>
      </c>
      <c r="D270" s="3" t="s">
        <v>260</v>
      </c>
      <c r="E270" s="9" t="n">
        <v>44993</v>
      </c>
      <c r="F270" s="8" t="str">
        <f aca="false">HYPERLINK("https://mncourtfraud.com/file/MCRO_27-CR-22-24627_Finding of Incompetency and Order_2023-03-08_20240429164355.pdf","MCRO_27-CR-22-24627_Finding of Incompetency and Order_2023-03-08_20240429164355.pdf")</f>
        <v>MCRO_27-CR-22-24627_Finding of Incompetency and Order_2023-03-08_20240429164355.pdf</v>
      </c>
      <c r="G270" s="8" t="str">
        <f aca="false">HYPERLINK("https://mncourtfraud.com/file/301d47d556670302b9cdfa702272ec0dee89eadcadf4187f27f0c6c76a469970.png","301d47d556670302b9cdfa702272ec0dee89eadcadf4187f27f0c6c76a469970")</f>
        <v>301d47d556670302b9cdfa702272ec0dee89eadcadf4187f27f0c6c76a469970</v>
      </c>
      <c r="H270" s="1" t="s">
        <v>1460</v>
      </c>
      <c r="I270" s="3" t="s">
        <v>1538</v>
      </c>
      <c r="J270" s="1" t="s">
        <v>1482</v>
      </c>
      <c r="K270" s="3" t="n">
        <v>3856</v>
      </c>
      <c r="L270" s="15" t="s">
        <v>1483</v>
      </c>
      <c r="M270" s="1" t="s">
        <v>1484</v>
      </c>
      <c r="N270" s="9" t="n">
        <v>44992</v>
      </c>
      <c r="O270" s="10" t="s">
        <v>1539</v>
      </c>
      <c r="P270" s="1" t="n">
        <v>1750</v>
      </c>
      <c r="Q270" s="1" t="n">
        <v>160</v>
      </c>
    </row>
    <row r="271" customFormat="false" ht="18.7" hidden="false" customHeight="true" outlineLevel="0" collapsed="false">
      <c r="A271" s="1" t="n">
        <v>270</v>
      </c>
      <c r="E271" s="9"/>
      <c r="K271" s="3"/>
      <c r="L271" s="15"/>
      <c r="N271" s="9"/>
      <c r="O271" s="10"/>
      <c r="P271" s="1"/>
      <c r="Q271" s="1"/>
    </row>
    <row r="272" customFormat="false" ht="18.7" hidden="false" customHeight="true" outlineLevel="0" collapsed="false">
      <c r="A272" s="1" t="n">
        <v>271</v>
      </c>
      <c r="B272" s="7" t="str">
        <f aca="false">HYPERLINK("https://mncourtfraud.com/file/RAB-15.zip","RAB-15.zip")</f>
        <v>RAB-15.zip</v>
      </c>
      <c r="C272" s="8" t="str">
        <f aca="false">HYPERLINK("https://mncourtfraud.com/file/27-CR-20-6517.pdf","27-CR-20-6517")</f>
        <v>27-CR-20-6517</v>
      </c>
      <c r="D272" s="3" t="s">
        <v>260</v>
      </c>
      <c r="E272" s="9" t="n">
        <v>44925</v>
      </c>
      <c r="F272" s="8" t="str">
        <f aca="false">HYPERLINK("https://mncourtfraud.com/file/MCRO_27-CR-20-6517_Order-Evaluation for Competency to Proceed (Rule 20.01)_2022-12-30_20240430085209.pdf","MCRO_27-CR-20-6517_Order-Evaluation for Competency to Proceed (Rule 20.01)_2022-12-30_20240430085209.pdf")</f>
        <v>MCRO_27-CR-20-6517_Order-Evaluation for Competency to Proceed (Rule 20.01)_2022-12-30_20240430085209.pdf</v>
      </c>
      <c r="G272" s="8" t="str">
        <f aca="false">HYPERLINK("https://mncourtfraud.com/file/61c73c1cb698dd3bb352db6bc675da288e3b4f0e59561f6f0da75c8c5b067466.png","61c73c1cb698dd3bb352db6bc675da288e3b4f0e59561f6f0da75c8c5b067466")</f>
        <v>61c73c1cb698dd3bb352db6bc675da288e3b4f0e59561f6f0da75c8c5b067466</v>
      </c>
      <c r="H272" s="1" t="s">
        <v>1460</v>
      </c>
      <c r="I272" s="3" t="s">
        <v>1540</v>
      </c>
      <c r="J272" s="1" t="s">
        <v>1482</v>
      </c>
      <c r="K272" s="3" t="n">
        <v>3019</v>
      </c>
      <c r="L272" s="15" t="s">
        <v>1487</v>
      </c>
      <c r="M272" s="1" t="s">
        <v>1484</v>
      </c>
      <c r="N272" s="9" t="n">
        <v>44925</v>
      </c>
      <c r="O272" s="10" t="s">
        <v>1501</v>
      </c>
      <c r="P272" s="1" t="n">
        <v>2330</v>
      </c>
      <c r="Q272" s="1" t="n">
        <v>130</v>
      </c>
    </row>
    <row r="273" customFormat="false" ht="18.7" hidden="false" customHeight="true" outlineLevel="0" collapsed="false">
      <c r="A273" s="1" t="n">
        <v>272</v>
      </c>
      <c r="B273" s="7" t="str">
        <f aca="false">HYPERLINK("https://mncourtfraud.com/file/RAB-15.zip","RAB-15.zip")</f>
        <v>RAB-15.zip</v>
      </c>
      <c r="C273" s="8" t="str">
        <f aca="false">HYPERLINK("https://mncourtfraud.com/file/27-CR-21-23131.pdf","27-CR-21-23131")</f>
        <v>27-CR-21-23131</v>
      </c>
      <c r="D273" s="3" t="s">
        <v>260</v>
      </c>
      <c r="E273" s="9" t="n">
        <v>44925</v>
      </c>
      <c r="F273" s="8" t="str">
        <f aca="false">HYPERLINK("https://mncourtfraud.com/file/MCRO_27-CR-21-23131_Order-Evaluation for Competency to Proceed (Rule 20.01)_2022-12-30_20240430083651.pdf","MCRO_27-CR-21-23131_Order-Evaluation for Competency to Proceed (Rule 20.01)_2022-12-30_20240430083651.pdf")</f>
        <v>MCRO_27-CR-21-23131_Order-Evaluation for Competency to Proceed (Rule 20.01)_2022-12-30_20240430083651.pdf</v>
      </c>
      <c r="G273" s="8" t="str">
        <f aca="false">HYPERLINK("https://mncourtfraud.com/file/61c73c1cb698dd3bb352db6bc675da288e3b4f0e59561f6f0da75c8c5b067466.png","61c73c1cb698dd3bb352db6bc675da288e3b4f0e59561f6f0da75c8c5b067466")</f>
        <v>61c73c1cb698dd3bb352db6bc675da288e3b4f0e59561f6f0da75c8c5b067466</v>
      </c>
      <c r="H273" s="1" t="s">
        <v>1460</v>
      </c>
      <c r="I273" s="3" t="s">
        <v>1540</v>
      </c>
      <c r="J273" s="1" t="s">
        <v>1482</v>
      </c>
      <c r="K273" s="3" t="n">
        <v>3019</v>
      </c>
      <c r="L273" s="15" t="s">
        <v>1487</v>
      </c>
      <c r="M273" s="1" t="s">
        <v>1484</v>
      </c>
      <c r="N273" s="9" t="n">
        <v>44925</v>
      </c>
      <c r="O273" s="10" t="s">
        <v>1501</v>
      </c>
      <c r="P273" s="1" t="n">
        <v>2330</v>
      </c>
      <c r="Q273" s="1" t="n">
        <v>130</v>
      </c>
    </row>
    <row r="274" customFormat="false" ht="18.7" hidden="false" customHeight="true" outlineLevel="0" collapsed="false">
      <c r="A274" s="1" t="n">
        <v>273</v>
      </c>
      <c r="B274" s="7" t="str">
        <f aca="false">HYPERLINK("https://mncourtfraud.com/file/RAB-15.zip","RAB-15.zip")</f>
        <v>RAB-15.zip</v>
      </c>
      <c r="C274" s="8" t="str">
        <f aca="false">HYPERLINK("https://mncourtfraud.com/file/27-CR-22-24627.pdf","27-CR-22-24627")</f>
        <v>27-CR-22-24627</v>
      </c>
      <c r="D274" s="3" t="s">
        <v>260</v>
      </c>
      <c r="E274" s="9" t="n">
        <v>44925</v>
      </c>
      <c r="F274" s="8" t="str">
        <f aca="false">HYPERLINK("https://mncourtfraud.com/file/MCRO_27-CR-22-24627_Order-Evaluation for Competency to Proceed (Rule 20.01)_2022-12-30_20240429164400.pdf","MCRO_27-CR-22-24627_Order-Evaluation for Competency to Proceed (Rule 20.01)_2022-12-30_20240429164400.pdf")</f>
        <v>MCRO_27-CR-22-24627_Order-Evaluation for Competency to Proceed (Rule 20.01)_2022-12-30_20240429164400.pdf</v>
      </c>
      <c r="G274" s="8" t="str">
        <f aca="false">HYPERLINK("https://mncourtfraud.com/file/61c73c1cb698dd3bb352db6bc675da288e3b4f0e59561f6f0da75c8c5b067466.png","61c73c1cb698dd3bb352db6bc675da288e3b4f0e59561f6f0da75c8c5b067466")</f>
        <v>61c73c1cb698dd3bb352db6bc675da288e3b4f0e59561f6f0da75c8c5b067466</v>
      </c>
      <c r="H274" s="1" t="s">
        <v>1460</v>
      </c>
      <c r="I274" s="3" t="s">
        <v>1540</v>
      </c>
      <c r="J274" s="1" t="s">
        <v>1482</v>
      </c>
      <c r="K274" s="3" t="n">
        <v>3019</v>
      </c>
      <c r="L274" s="15" t="s">
        <v>1487</v>
      </c>
      <c r="M274" s="1" t="s">
        <v>1484</v>
      </c>
      <c r="N274" s="9" t="n">
        <v>44925</v>
      </c>
      <c r="O274" s="10" t="s">
        <v>1501</v>
      </c>
      <c r="P274" s="1" t="n">
        <v>2330</v>
      </c>
      <c r="Q274" s="1" t="n">
        <v>130</v>
      </c>
    </row>
    <row r="275" customFormat="false" ht="18.7" hidden="false" customHeight="true" outlineLevel="0" collapsed="false">
      <c r="A275" s="1" t="n">
        <v>274</v>
      </c>
      <c r="E275" s="9"/>
      <c r="K275" s="3"/>
      <c r="L275" s="15"/>
      <c r="N275" s="9"/>
      <c r="O275" s="10"/>
      <c r="P275" s="1"/>
      <c r="Q275" s="1"/>
    </row>
    <row r="276" customFormat="false" ht="18.7" hidden="false" customHeight="true" outlineLevel="0" collapsed="false">
      <c r="A276" s="1" t="n">
        <v>275</v>
      </c>
      <c r="B276" s="7" t="str">
        <f aca="false">HYPERLINK("https://mncourtfraud.com/file/RAB-16.zip","RAB-16.zip")</f>
        <v>RAB-16.zip</v>
      </c>
      <c r="C276" s="8" t="str">
        <f aca="false">HYPERLINK("https://mncourtfraud.com/file/27-CR-21-23131.pdf","27-CR-21-23131")</f>
        <v>27-CR-21-23131</v>
      </c>
      <c r="D276" s="3" t="s">
        <v>260</v>
      </c>
      <c r="E276" s="9" t="n">
        <v>45105</v>
      </c>
      <c r="F276" s="8" t="str">
        <f aca="false">HYPERLINK("https://mncourtfraud.com/file/MCRO_27-CR-21-23131_Order-Evaluation for Competency to Proceed (Rule 20.01)_2023-06-28_20240430083647.pdf","MCRO_27-CR-21-23131_Order-Evaluation for Competency to Proceed (Rule 20.01)_2023-06-28_20240430083647.pdf")</f>
        <v>MCRO_27-CR-21-23131_Order-Evaluation for Competency to Proceed (Rule 20.01)_2023-06-28_20240430083647.pdf</v>
      </c>
      <c r="G276" s="8" t="str">
        <f aca="false">HYPERLINK("https://mncourtfraud.com/file/adfdb821ceb2d5d8210ed52d23d44f86a1b0c0a151ae1ffb5e8eb9c4adf9e234.png","adfdb821ceb2d5d8210ed52d23d44f86a1b0c0a151ae1ffb5e8eb9c4adf9e234")</f>
        <v>adfdb821ceb2d5d8210ed52d23d44f86a1b0c0a151ae1ffb5e8eb9c4adf9e234</v>
      </c>
      <c r="H276" s="1" t="s">
        <v>1460</v>
      </c>
      <c r="I276" s="3" t="s">
        <v>1541</v>
      </c>
      <c r="J276" s="1" t="s">
        <v>1482</v>
      </c>
      <c r="K276" s="3" t="n">
        <v>4048</v>
      </c>
      <c r="L276" s="15" t="s">
        <v>1487</v>
      </c>
      <c r="M276" s="1" t="s">
        <v>1484</v>
      </c>
      <c r="N276" s="9" t="n">
        <v>45104</v>
      </c>
      <c r="O276" s="10" t="s">
        <v>1542</v>
      </c>
      <c r="P276" s="1" t="n">
        <v>2600</v>
      </c>
      <c r="Q276" s="1" t="n">
        <v>160</v>
      </c>
    </row>
    <row r="277" customFormat="false" ht="18.7" hidden="false" customHeight="true" outlineLevel="0" collapsed="false">
      <c r="A277" s="1" t="n">
        <v>276</v>
      </c>
      <c r="B277" s="7" t="str">
        <f aca="false">HYPERLINK("https://mncourtfraud.com/file/RAB-16.zip","RAB-16.zip")</f>
        <v>RAB-16.zip</v>
      </c>
      <c r="C277" s="8" t="str">
        <f aca="false">HYPERLINK("https://mncourtfraud.com/file/27-CR-22-24627.pdf","27-CR-22-24627")</f>
        <v>27-CR-22-24627</v>
      </c>
      <c r="D277" s="3" t="s">
        <v>260</v>
      </c>
      <c r="E277" s="9" t="n">
        <v>45105</v>
      </c>
      <c r="F277" s="8" t="str">
        <f aca="false">HYPERLINK("https://mncourtfraud.com/file/MCRO_27-CR-22-24627_Order-Evaluation for Competency to Proceed (Rule 20.01)_2023-06-28_20240429164353.pdf","MCRO_27-CR-22-24627_Order-Evaluation for Competency to Proceed (Rule 20.01)_2023-06-28_20240429164353.pdf")</f>
        <v>MCRO_27-CR-22-24627_Order-Evaluation for Competency to Proceed (Rule 20.01)_2023-06-28_20240429164353.pdf</v>
      </c>
      <c r="G277" s="8" t="str">
        <f aca="false">HYPERLINK("https://mncourtfraud.com/file/adfdb821ceb2d5d8210ed52d23d44f86a1b0c0a151ae1ffb5e8eb9c4adf9e234.png","adfdb821ceb2d5d8210ed52d23d44f86a1b0c0a151ae1ffb5e8eb9c4adf9e234")</f>
        <v>adfdb821ceb2d5d8210ed52d23d44f86a1b0c0a151ae1ffb5e8eb9c4adf9e234</v>
      </c>
      <c r="H277" s="1" t="s">
        <v>1460</v>
      </c>
      <c r="I277" s="3" t="s">
        <v>1541</v>
      </c>
      <c r="J277" s="1" t="s">
        <v>1482</v>
      </c>
      <c r="K277" s="3" t="n">
        <v>4048</v>
      </c>
      <c r="L277" s="15" t="s">
        <v>1487</v>
      </c>
      <c r="M277" s="1" t="s">
        <v>1484</v>
      </c>
      <c r="N277" s="9" t="n">
        <v>45104</v>
      </c>
      <c r="O277" s="10" t="s">
        <v>1542</v>
      </c>
      <c r="P277" s="1" t="n">
        <v>2600</v>
      </c>
      <c r="Q277" s="1" t="n">
        <v>160</v>
      </c>
    </row>
    <row r="278" customFormat="false" ht="18.7" hidden="false" customHeight="true" outlineLevel="0" collapsed="false">
      <c r="A278" s="1" t="n">
        <v>277</v>
      </c>
      <c r="E278" s="9"/>
      <c r="K278" s="3"/>
      <c r="L278" s="15"/>
      <c r="N278" s="9"/>
      <c r="O278" s="10"/>
      <c r="P278" s="1"/>
      <c r="Q278" s="1"/>
    </row>
    <row r="279" customFormat="false" ht="18.7" hidden="false" customHeight="true" outlineLevel="0" collapsed="false">
      <c r="A279" s="1" t="n">
        <v>278</v>
      </c>
      <c r="B279" s="7" t="str">
        <f aca="false">HYPERLINK("https://mncourtfraud.com/file/RNS-1.zip","RNS-1.zip")</f>
        <v>RNS-1.zip</v>
      </c>
      <c r="C279" s="8" t="str">
        <f aca="false">HYPERLINK("https://mncourtfraud.com/file/27-CR-23-18846.pdf","27-CR-23-18846")</f>
        <v>27-CR-23-18846</v>
      </c>
      <c r="D279" s="3" t="s">
        <v>1543</v>
      </c>
      <c r="E279" s="9" t="n">
        <v>45345</v>
      </c>
      <c r="F279" s="8" t="str">
        <f aca="false">HYPERLINK("https://mncourtfraud.com/file/MCRO_27-CR-23-18846_Order-Evaluation for Competency to Proceed (Rule 20.01)_2024-02-23_20240430074701.pdf","MCRO_27-CR-23-18846_Order-Evaluation for Competency to Proceed (Rule 20.01)_2024-02-23_20240430074701.pdf")</f>
        <v>MCRO_27-CR-23-18846_Order-Evaluation for Competency to Proceed (Rule 20.01)_2024-02-23_20240430074701.pdf</v>
      </c>
      <c r="G279" s="8" t="str">
        <f aca="false">HYPERLINK("https://mncourtfraud.com/file/213a81cc5fc9f8ac84c817a09acb710260c5e606f49104816d37c6b23e602ad8.png","213a81cc5fc9f8ac84c817a09acb710260c5e606f49104816d37c6b23e602ad8")</f>
        <v>213a81cc5fc9f8ac84c817a09acb710260c5e606f49104816d37c6b23e602ad8</v>
      </c>
      <c r="H279" s="1" t="s">
        <v>1460</v>
      </c>
      <c r="I279" s="3" t="s">
        <v>1544</v>
      </c>
      <c r="J279" s="1" t="s">
        <v>1482</v>
      </c>
      <c r="K279" s="3" t="n">
        <v>5650</v>
      </c>
      <c r="L279" s="15" t="s">
        <v>1487</v>
      </c>
      <c r="M279" s="1" t="s">
        <v>1484</v>
      </c>
      <c r="N279" s="9" t="n">
        <v>45345</v>
      </c>
      <c r="O279" s="10" t="s">
        <v>1545</v>
      </c>
      <c r="P279" s="1" t="n">
        <v>2130</v>
      </c>
      <c r="Q279" s="1" t="n">
        <v>210</v>
      </c>
    </row>
    <row r="280" customFormat="false" ht="18.7" hidden="false" customHeight="true" outlineLevel="0" collapsed="false">
      <c r="A280" s="1" t="n">
        <v>279</v>
      </c>
      <c r="B280" s="7" t="str">
        <f aca="false">HYPERLINK("https://mncourtfraud.com/file/RNS-1.zip","RNS-1.zip")</f>
        <v>RNS-1.zip</v>
      </c>
      <c r="C280" s="8" t="str">
        <f aca="false">HYPERLINK("https://mncourtfraud.com/file/27-CR-23-18850.pdf","27-CR-23-18850")</f>
        <v>27-CR-23-18850</v>
      </c>
      <c r="D280" s="3" t="s">
        <v>1543</v>
      </c>
      <c r="E280" s="9" t="n">
        <v>45345</v>
      </c>
      <c r="F280" s="8" t="str">
        <f aca="false">HYPERLINK("https://mncourtfraud.com/file/MCRO_27-CR-23-18850_Order-Evaluation for Competency to Proceed (Rule 20.01)_2024-02-23_20240430074739.pdf","MCRO_27-CR-23-18850_Order-Evaluation for Competency to Proceed (Rule 20.01)_2024-02-23_20240430074739.pdf")</f>
        <v>MCRO_27-CR-23-18850_Order-Evaluation for Competency to Proceed (Rule 20.01)_2024-02-23_20240430074739.pdf</v>
      </c>
      <c r="G280" s="8" t="str">
        <f aca="false">HYPERLINK("https://mncourtfraud.com/file/213a81cc5fc9f8ac84c817a09acb710260c5e606f49104816d37c6b23e602ad8.png","213a81cc5fc9f8ac84c817a09acb710260c5e606f49104816d37c6b23e602ad8")</f>
        <v>213a81cc5fc9f8ac84c817a09acb710260c5e606f49104816d37c6b23e602ad8</v>
      </c>
      <c r="H280" s="1" t="s">
        <v>1460</v>
      </c>
      <c r="I280" s="3" t="s">
        <v>1544</v>
      </c>
      <c r="J280" s="1" t="s">
        <v>1482</v>
      </c>
      <c r="K280" s="3" t="n">
        <v>5650</v>
      </c>
      <c r="L280" s="15" t="s">
        <v>1487</v>
      </c>
      <c r="M280" s="1" t="s">
        <v>1484</v>
      </c>
      <c r="N280" s="9" t="n">
        <v>45345</v>
      </c>
      <c r="O280" s="10" t="s">
        <v>1545</v>
      </c>
      <c r="P280" s="1" t="n">
        <v>2130</v>
      </c>
      <c r="Q280" s="1" t="n">
        <v>210</v>
      </c>
    </row>
    <row r="281" customFormat="false" ht="18.7" hidden="false" customHeight="true" outlineLevel="0" collapsed="false">
      <c r="A281" s="1" t="n">
        <v>280</v>
      </c>
      <c r="E281" s="9"/>
      <c r="K281" s="3"/>
      <c r="L281" s="15"/>
      <c r="N281" s="9"/>
      <c r="O281" s="10"/>
      <c r="P281" s="1"/>
      <c r="Q281" s="1"/>
    </row>
    <row r="282" customFormat="false" ht="18.7" hidden="false" customHeight="true" outlineLevel="0" collapsed="false">
      <c r="A282" s="1" t="n">
        <v>281</v>
      </c>
      <c r="B282" s="7" t="str">
        <f aca="false">HYPERLINK("https://mncourtfraud.com/file/RNS-2.zip","RNS-2.zip")</f>
        <v>RNS-2.zip</v>
      </c>
      <c r="C282" s="8" t="str">
        <f aca="false">HYPERLINK("https://mncourtfraud.com/file/27-CR-23-18846.pdf","27-CR-23-18846")</f>
        <v>27-CR-23-18846</v>
      </c>
      <c r="D282" s="3" t="s">
        <v>1543</v>
      </c>
      <c r="E282" s="9" t="n">
        <v>45244</v>
      </c>
      <c r="F282" s="8" t="str">
        <f aca="false">HYPERLINK("https://mncourtfraud.com/file/MCRO_27-CR-23-18846_Order for Conditional Release_2023-11-14_20240430074704.pdf","MCRO_27-CR-23-18846_Order for Conditional Release_2023-11-14_20240430074704.pdf")</f>
        <v>MCRO_27-CR-23-18846_Order for Conditional Release_2023-11-14_20240430074704.pdf</v>
      </c>
      <c r="G282" s="8" t="str">
        <f aca="false">HYPERLINK("https://mncourtfraud.com/file/c1d5bc93f6e767a507ad5f21d9ad8b12992a3d09d6bb30f1fd7f68cc7d1056cc.png","c1d5bc93f6e767a507ad5f21d9ad8b12992a3d09d6bb30f1fd7f68cc7d1056cc")</f>
        <v>c1d5bc93f6e767a507ad5f21d9ad8b12992a3d09d6bb30f1fd7f68cc7d1056cc</v>
      </c>
      <c r="H282" s="1" t="s">
        <v>1460</v>
      </c>
      <c r="I282" s="3" t="s">
        <v>1546</v>
      </c>
      <c r="J282" s="1" t="s">
        <v>1482</v>
      </c>
      <c r="K282" s="3" t="n">
        <v>4428</v>
      </c>
      <c r="L282" s="15" t="s">
        <v>1526</v>
      </c>
      <c r="M282" s="1" t="s">
        <v>1484</v>
      </c>
      <c r="N282" s="9" t="n">
        <v>45244</v>
      </c>
      <c r="O282" s="10" t="s">
        <v>1547</v>
      </c>
      <c r="P282" s="1" t="n">
        <v>2250</v>
      </c>
      <c r="Q282" s="1" t="n">
        <v>180</v>
      </c>
    </row>
    <row r="283" customFormat="false" ht="18.7" hidden="false" customHeight="true" outlineLevel="0" collapsed="false">
      <c r="A283" s="1" t="n">
        <v>282</v>
      </c>
      <c r="B283" s="7" t="str">
        <f aca="false">HYPERLINK("https://mncourtfraud.com/file/RNS-2.zip","RNS-2.zip")</f>
        <v>RNS-2.zip</v>
      </c>
      <c r="C283" s="8" t="str">
        <f aca="false">HYPERLINK("https://mncourtfraud.com/file/27-CR-23-18850.pdf","27-CR-23-18850")</f>
        <v>27-CR-23-18850</v>
      </c>
      <c r="D283" s="3" t="s">
        <v>1543</v>
      </c>
      <c r="E283" s="9" t="n">
        <v>45244</v>
      </c>
      <c r="F283" s="8" t="str">
        <f aca="false">HYPERLINK("https://mncourtfraud.com/file/MCRO_27-CR-23-18850_Order for Conditional Release_2023-11-14_20240430074741.pdf","MCRO_27-CR-23-18850_Order for Conditional Release_2023-11-14_20240430074741.pdf")</f>
        <v>MCRO_27-CR-23-18850_Order for Conditional Release_2023-11-14_20240430074741.pdf</v>
      </c>
      <c r="G283" s="8" t="str">
        <f aca="false">HYPERLINK("https://mncourtfraud.com/file/c1d5bc93f6e767a507ad5f21d9ad8b12992a3d09d6bb30f1fd7f68cc7d1056cc.png","c1d5bc93f6e767a507ad5f21d9ad8b12992a3d09d6bb30f1fd7f68cc7d1056cc")</f>
        <v>c1d5bc93f6e767a507ad5f21d9ad8b12992a3d09d6bb30f1fd7f68cc7d1056cc</v>
      </c>
      <c r="H283" s="1" t="s">
        <v>1460</v>
      </c>
      <c r="I283" s="3" t="s">
        <v>1546</v>
      </c>
      <c r="J283" s="1" t="s">
        <v>1482</v>
      </c>
      <c r="K283" s="3" t="n">
        <v>4428</v>
      </c>
      <c r="L283" s="15" t="s">
        <v>1526</v>
      </c>
      <c r="M283" s="1" t="s">
        <v>1484</v>
      </c>
      <c r="N283" s="9" t="n">
        <v>45244</v>
      </c>
      <c r="O283" s="10" t="s">
        <v>1547</v>
      </c>
      <c r="P283" s="1" t="n">
        <v>2250</v>
      </c>
      <c r="Q283" s="1" t="n">
        <v>180</v>
      </c>
    </row>
    <row r="284" customFormat="false" ht="18.7" hidden="false" customHeight="true" outlineLevel="0" collapsed="false">
      <c r="A284" s="1" t="n">
        <v>283</v>
      </c>
      <c r="B284" s="7" t="str">
        <f aca="false">HYPERLINK("https://mncourtfraud.com/file/RNS-2.zip","RNS-2.zip")</f>
        <v>RNS-2.zip</v>
      </c>
      <c r="C284" s="8" t="str">
        <f aca="false">HYPERLINK("https://mncourtfraud.com/file/27-CR-23-18846.pdf","27-CR-23-18846")</f>
        <v>27-CR-23-18846</v>
      </c>
      <c r="D284" s="3" t="s">
        <v>1543</v>
      </c>
      <c r="E284" s="9" t="n">
        <v>45244</v>
      </c>
      <c r="F284" s="8" t="str">
        <f aca="false">HYPERLINK("https://mncourtfraud.com/file/MCRO_27-CR-23-18846_Order for Conditional Release_2023-11-14_20240430074704.pdf","MCRO_27-CR-23-18846_Order for Conditional Release_2023-11-14_20240430074704.pdf")</f>
        <v>MCRO_27-CR-23-18846_Order for Conditional Release_2023-11-14_20240430074704.pdf</v>
      </c>
      <c r="G284" s="8" t="str">
        <f aca="false">HYPERLINK("https://mncourtfraud.com/file/c1d5bc93f6e767a507ad5f21d9ad8b12992a3d09d6bb30f1fd7f68cc7d1056cc.png","c1d5bc93f6e767a507ad5f21d9ad8b12992a3d09d6bb30f1fd7f68cc7d1056cc")</f>
        <v>c1d5bc93f6e767a507ad5f21d9ad8b12992a3d09d6bb30f1fd7f68cc7d1056cc</v>
      </c>
      <c r="H284" s="1" t="s">
        <v>1460</v>
      </c>
      <c r="I284" s="3" t="s">
        <v>1546</v>
      </c>
      <c r="J284" s="1" t="s">
        <v>1482</v>
      </c>
      <c r="K284" s="3" t="n">
        <v>4428</v>
      </c>
      <c r="L284" s="15" t="s">
        <v>1526</v>
      </c>
      <c r="M284" s="1" t="s">
        <v>1484</v>
      </c>
      <c r="N284" s="9" t="n">
        <v>45244</v>
      </c>
      <c r="O284" s="10" t="s">
        <v>1547</v>
      </c>
      <c r="P284" s="1" t="n">
        <v>2250</v>
      </c>
      <c r="Q284" s="1" t="n">
        <v>180</v>
      </c>
    </row>
    <row r="285" customFormat="false" ht="18.7" hidden="false" customHeight="true" outlineLevel="0" collapsed="false">
      <c r="A285" s="1" t="n">
        <v>284</v>
      </c>
      <c r="B285" s="7" t="str">
        <f aca="false">HYPERLINK("https://mncourtfraud.com/file/RNS-2.zip","RNS-2.zip")</f>
        <v>RNS-2.zip</v>
      </c>
      <c r="C285" s="8" t="str">
        <f aca="false">HYPERLINK("https://mncourtfraud.com/file/27-CR-23-18850.pdf","27-CR-23-18850")</f>
        <v>27-CR-23-18850</v>
      </c>
      <c r="D285" s="3" t="s">
        <v>1543</v>
      </c>
      <c r="E285" s="9" t="n">
        <v>45244</v>
      </c>
      <c r="F285" s="8" t="str">
        <f aca="false">HYPERLINK("https://mncourtfraud.com/file/MCRO_27-CR-23-18850_Order for Conditional Release_2023-11-14_20240430074741.pdf","MCRO_27-CR-23-18850_Order for Conditional Release_2023-11-14_20240430074741.pdf")</f>
        <v>MCRO_27-CR-23-18850_Order for Conditional Release_2023-11-14_20240430074741.pdf</v>
      </c>
      <c r="G285" s="8" t="str">
        <f aca="false">HYPERLINK("https://mncourtfraud.com/file/c1d5bc93f6e767a507ad5f21d9ad8b12992a3d09d6bb30f1fd7f68cc7d1056cc.png","c1d5bc93f6e767a507ad5f21d9ad8b12992a3d09d6bb30f1fd7f68cc7d1056cc")</f>
        <v>c1d5bc93f6e767a507ad5f21d9ad8b12992a3d09d6bb30f1fd7f68cc7d1056cc</v>
      </c>
      <c r="H285" s="1" t="s">
        <v>1460</v>
      </c>
      <c r="I285" s="3" t="s">
        <v>1546</v>
      </c>
      <c r="J285" s="1" t="s">
        <v>1482</v>
      </c>
      <c r="K285" s="3" t="n">
        <v>4428</v>
      </c>
      <c r="L285" s="15" t="s">
        <v>1526</v>
      </c>
      <c r="M285" s="1" t="s">
        <v>1484</v>
      </c>
      <c r="N285" s="9" t="n">
        <v>45244</v>
      </c>
      <c r="O285" s="10" t="s">
        <v>1547</v>
      </c>
      <c r="P285" s="1" t="n">
        <v>2250</v>
      </c>
      <c r="Q285" s="1" t="n">
        <v>180</v>
      </c>
    </row>
    <row r="286" customFormat="false" ht="18.7" hidden="false" customHeight="true" outlineLevel="0" collapsed="false">
      <c r="A286" s="1" t="n">
        <v>285</v>
      </c>
      <c r="E286" s="9"/>
      <c r="K286" s="3"/>
      <c r="L286" s="15"/>
      <c r="N286" s="9"/>
      <c r="O286" s="10"/>
      <c r="P286" s="1"/>
      <c r="Q286" s="1"/>
    </row>
    <row r="287" customFormat="false" ht="18.7" hidden="false" customHeight="true" outlineLevel="0" collapsed="false">
      <c r="A287" s="1" t="n">
        <v>286</v>
      </c>
      <c r="B287" s="7" t="str">
        <f aca="false">HYPERLINK("https://mncourtfraud.com/file/RNS-3.zip","RNS-3.zip")</f>
        <v>RNS-3.zip</v>
      </c>
      <c r="C287" s="8" t="str">
        <f aca="false">HYPERLINK("https://mncourtfraud.com/file/27-CR-23-18846.pdf","27-CR-23-18846")</f>
        <v>27-CR-23-18846</v>
      </c>
      <c r="D287" s="3" t="s">
        <v>1543</v>
      </c>
      <c r="E287" s="9" t="n">
        <v>45209</v>
      </c>
      <c r="F287" s="8" t="str">
        <f aca="false">HYPERLINK("https://mncourtfraud.com/file/MCRO_27-CR-23-18846_Finding of Incompetency and Order_2023-10-10_20240430074709.pdf","MCRO_27-CR-23-18846_Finding of Incompetency and Order_2023-10-10_20240430074709.pdf")</f>
        <v>MCRO_27-CR-23-18846_Finding of Incompetency and Order_2023-10-10_20240430074709.pdf</v>
      </c>
      <c r="G287" s="8" t="str">
        <f aca="false">HYPERLINK("https://mncourtfraud.com/file/ee9b60b9f288f59058408854681ea81a088c0a2599566ca35298634e83012134.png","ee9b60b9f288f59058408854681ea81a088c0a2599566ca35298634e83012134")</f>
        <v>ee9b60b9f288f59058408854681ea81a088c0a2599566ca35298634e83012134</v>
      </c>
      <c r="H287" s="1" t="s">
        <v>1460</v>
      </c>
      <c r="I287" s="3" t="s">
        <v>1548</v>
      </c>
      <c r="J287" s="1" t="s">
        <v>1482</v>
      </c>
      <c r="K287" s="3" t="n">
        <v>4264</v>
      </c>
      <c r="L287" s="15" t="s">
        <v>1526</v>
      </c>
      <c r="M287" s="1" t="s">
        <v>1484</v>
      </c>
      <c r="N287" s="9" t="n">
        <v>45210</v>
      </c>
      <c r="O287" s="10" t="s">
        <v>1549</v>
      </c>
      <c r="P287" s="1" t="n">
        <v>1460</v>
      </c>
      <c r="Q287" s="1" t="n">
        <v>200</v>
      </c>
    </row>
    <row r="288" customFormat="false" ht="18.7" hidden="false" customHeight="true" outlineLevel="0" collapsed="false">
      <c r="A288" s="1" t="n">
        <v>287</v>
      </c>
      <c r="B288" s="7" t="str">
        <f aca="false">HYPERLINK("https://mncourtfraud.com/file/RNS-3.zip","RNS-3.zip")</f>
        <v>RNS-3.zip</v>
      </c>
      <c r="C288" s="8" t="str">
        <f aca="false">HYPERLINK("https://mncourtfraud.com/file/27-CR-23-18850.pdf","27-CR-23-18850")</f>
        <v>27-CR-23-18850</v>
      </c>
      <c r="D288" s="3" t="s">
        <v>1543</v>
      </c>
      <c r="E288" s="9" t="n">
        <v>45209</v>
      </c>
      <c r="F288" s="8" t="str">
        <f aca="false">HYPERLINK("https://mncourtfraud.com/file/MCRO_27-CR-23-18850_Finding of Incompetency and Order_2023-10-10_20240430074746.pdf","MCRO_27-CR-23-18850_Finding of Incompetency and Order_2023-10-10_20240430074746.pdf")</f>
        <v>MCRO_27-CR-23-18850_Finding of Incompetency and Order_2023-10-10_20240430074746.pdf</v>
      </c>
      <c r="G288" s="8" t="str">
        <f aca="false">HYPERLINK("https://mncourtfraud.com/file/ee9b60b9f288f59058408854681ea81a088c0a2599566ca35298634e83012134.png","ee9b60b9f288f59058408854681ea81a088c0a2599566ca35298634e83012134")</f>
        <v>ee9b60b9f288f59058408854681ea81a088c0a2599566ca35298634e83012134</v>
      </c>
      <c r="H288" s="1" t="s">
        <v>1460</v>
      </c>
      <c r="I288" s="3" t="s">
        <v>1548</v>
      </c>
      <c r="J288" s="1" t="s">
        <v>1482</v>
      </c>
      <c r="K288" s="3" t="n">
        <v>4264</v>
      </c>
      <c r="L288" s="15" t="s">
        <v>1526</v>
      </c>
      <c r="M288" s="1" t="s">
        <v>1484</v>
      </c>
      <c r="N288" s="9" t="n">
        <v>45210</v>
      </c>
      <c r="O288" s="10" t="s">
        <v>1549</v>
      </c>
      <c r="P288" s="1" t="n">
        <v>1460</v>
      </c>
      <c r="Q288" s="1" t="n">
        <v>200</v>
      </c>
    </row>
    <row r="289" customFormat="false" ht="18.7" hidden="false" customHeight="true" outlineLevel="0" collapsed="false">
      <c r="A289" s="1" t="n">
        <v>288</v>
      </c>
      <c r="B289" s="7" t="str">
        <f aca="false">HYPERLINK("https://mncourtfraud.com/file/RNS-3.zip","RNS-3.zip")</f>
        <v>RNS-3.zip</v>
      </c>
      <c r="C289" s="8" t="str">
        <f aca="false">HYPERLINK("https://mncourtfraud.com/file/27-CR-23-18846.pdf","27-CR-23-18846")</f>
        <v>27-CR-23-18846</v>
      </c>
      <c r="D289" s="3" t="s">
        <v>1543</v>
      </c>
      <c r="E289" s="9" t="n">
        <v>45209</v>
      </c>
      <c r="F289" s="8" t="str">
        <f aca="false">HYPERLINK("https://mncourtfraud.com/file/MCRO_27-CR-23-18846_Finding of Incompetency and Order_2023-10-10_20240430074709.pdf","MCRO_27-CR-23-18846_Finding of Incompetency and Order_2023-10-10_20240430074709.pdf")</f>
        <v>MCRO_27-CR-23-18846_Finding of Incompetency and Order_2023-10-10_20240430074709.pdf</v>
      </c>
      <c r="G289" s="8" t="str">
        <f aca="false">HYPERLINK("https://mncourtfraud.com/file/ee9b60b9f288f59058408854681ea81a088c0a2599566ca35298634e83012134.png","ee9b60b9f288f59058408854681ea81a088c0a2599566ca35298634e83012134")</f>
        <v>ee9b60b9f288f59058408854681ea81a088c0a2599566ca35298634e83012134</v>
      </c>
      <c r="H289" s="1" t="s">
        <v>1460</v>
      </c>
      <c r="I289" s="3" t="s">
        <v>1548</v>
      </c>
      <c r="J289" s="1" t="s">
        <v>1482</v>
      </c>
      <c r="K289" s="3" t="n">
        <v>4264</v>
      </c>
      <c r="L289" s="15" t="s">
        <v>1526</v>
      </c>
      <c r="M289" s="1" t="s">
        <v>1484</v>
      </c>
      <c r="N289" s="9" t="n">
        <v>45210</v>
      </c>
      <c r="O289" s="10" t="s">
        <v>1549</v>
      </c>
      <c r="P289" s="1" t="n">
        <v>1460</v>
      </c>
      <c r="Q289" s="1" t="n">
        <v>200</v>
      </c>
    </row>
    <row r="290" customFormat="false" ht="18.7" hidden="false" customHeight="true" outlineLevel="0" collapsed="false">
      <c r="A290" s="1" t="n">
        <v>289</v>
      </c>
      <c r="B290" s="7" t="str">
        <f aca="false">HYPERLINK("https://mncourtfraud.com/file/RNS-3.zip","RNS-3.zip")</f>
        <v>RNS-3.zip</v>
      </c>
      <c r="C290" s="8" t="str">
        <f aca="false">HYPERLINK("https://mncourtfraud.com/file/27-CR-23-18850.pdf","27-CR-23-18850")</f>
        <v>27-CR-23-18850</v>
      </c>
      <c r="D290" s="3" t="s">
        <v>1543</v>
      </c>
      <c r="E290" s="9" t="n">
        <v>45209</v>
      </c>
      <c r="F290" s="8" t="str">
        <f aca="false">HYPERLINK("https://mncourtfraud.com/file/MCRO_27-CR-23-18850_Finding of Incompetency and Order_2023-10-10_20240430074746.pdf","MCRO_27-CR-23-18850_Finding of Incompetency and Order_2023-10-10_20240430074746.pdf")</f>
        <v>MCRO_27-CR-23-18850_Finding of Incompetency and Order_2023-10-10_20240430074746.pdf</v>
      </c>
      <c r="G290" s="8" t="str">
        <f aca="false">HYPERLINK("https://mncourtfraud.com/file/ee9b60b9f288f59058408854681ea81a088c0a2599566ca35298634e83012134.png","ee9b60b9f288f59058408854681ea81a088c0a2599566ca35298634e83012134")</f>
        <v>ee9b60b9f288f59058408854681ea81a088c0a2599566ca35298634e83012134</v>
      </c>
      <c r="H290" s="1" t="s">
        <v>1460</v>
      </c>
      <c r="I290" s="3" t="s">
        <v>1548</v>
      </c>
      <c r="J290" s="1" t="s">
        <v>1482</v>
      </c>
      <c r="K290" s="3" t="n">
        <v>4264</v>
      </c>
      <c r="L290" s="15" t="s">
        <v>1526</v>
      </c>
      <c r="M290" s="1" t="s">
        <v>1484</v>
      </c>
      <c r="N290" s="9" t="n">
        <v>45210</v>
      </c>
      <c r="O290" s="10" t="s">
        <v>1549</v>
      </c>
      <c r="P290" s="1" t="n">
        <v>1460</v>
      </c>
      <c r="Q290" s="1" t="n">
        <v>200</v>
      </c>
    </row>
    <row r="291" customFormat="false" ht="18.7" hidden="false" customHeight="true" outlineLevel="0" collapsed="false">
      <c r="A291" s="1" t="n">
        <v>290</v>
      </c>
      <c r="E291" s="9"/>
      <c r="K291" s="3"/>
      <c r="L291" s="15"/>
      <c r="N291" s="9"/>
      <c r="O291" s="10"/>
      <c r="P291" s="1"/>
      <c r="Q291" s="1"/>
    </row>
    <row r="292" customFormat="false" ht="18.7" hidden="false" customHeight="true" outlineLevel="0" collapsed="false">
      <c r="A292" s="1" t="n">
        <v>291</v>
      </c>
      <c r="B292" s="7" t="str">
        <f aca="false">HYPERLINK("https://mncourtfraud.com/file/RJC-2.zip","RJC-2.zip")</f>
        <v>RJC-2.zip</v>
      </c>
      <c r="C292" s="8" t="str">
        <f aca="false">HYPERLINK("https://mncourtfraud.com/file/27-CR-20-27550.pdf","27-CR-20-27550")</f>
        <v>27-CR-20-27550</v>
      </c>
      <c r="D292" s="3" t="s">
        <v>1356</v>
      </c>
      <c r="E292" s="9" t="n">
        <v>45405</v>
      </c>
      <c r="F292" s="8" t="str">
        <f aca="false">HYPERLINK("https://mncourtfraud.com/file/MCRO_27-CR-20-27550_Order-Evaluation for Competency to Proceed (Rule 20.01)_2024-04-23_20240430090701.pdf","MCRO_27-CR-20-27550_Order-Evaluation for Competency to Proceed (Rule 20.01)_2024-04-23_20240430090701.pdf")</f>
        <v>MCRO_27-CR-20-27550_Order-Evaluation for Competency to Proceed (Rule 20.01)_2024-04-23_20240430090701.pdf</v>
      </c>
      <c r="G292" s="8" t="str">
        <f aca="false">HYPERLINK("https://mncourtfraud.com/file/b8f016f1aca96dff23b44923f0e2de769470970db2d06369f58a5b71c045a5dd.png","b8f016f1aca96dff23b44923f0e2de769470970db2d06369f58a5b71c045a5dd")</f>
        <v>b8f016f1aca96dff23b44923f0e2de769470970db2d06369f58a5b71c045a5dd</v>
      </c>
      <c r="H292" s="1" t="s">
        <v>1460</v>
      </c>
      <c r="I292" s="3" t="s">
        <v>1550</v>
      </c>
      <c r="J292" s="1" t="s">
        <v>1482</v>
      </c>
      <c r="K292" s="3" t="n">
        <v>4560</v>
      </c>
      <c r="L292" s="15" t="s">
        <v>1487</v>
      </c>
      <c r="M292" s="1" t="s">
        <v>1484</v>
      </c>
      <c r="N292" s="9" t="n">
        <v>45406</v>
      </c>
      <c r="O292" s="10" t="s">
        <v>1551</v>
      </c>
      <c r="P292" s="1" t="n">
        <v>740</v>
      </c>
      <c r="Q292" s="1" t="n">
        <v>310</v>
      </c>
    </row>
    <row r="293" customFormat="false" ht="18.7" hidden="false" customHeight="true" outlineLevel="0" collapsed="false">
      <c r="A293" s="1" t="n">
        <v>292</v>
      </c>
      <c r="B293" s="7" t="str">
        <f aca="false">HYPERLINK("https://mncourtfraud.com/file/RJC-2.zip","RJC-2.zip")</f>
        <v>RJC-2.zip</v>
      </c>
      <c r="C293" s="8" t="str">
        <f aca="false">HYPERLINK("https://mncourtfraud.com/file/27-CR-22-14541.pdf","27-CR-22-14541")</f>
        <v>27-CR-22-14541</v>
      </c>
      <c r="D293" s="3" t="s">
        <v>1471</v>
      </c>
      <c r="E293" s="9" t="n">
        <v>45405</v>
      </c>
      <c r="F293" s="8" t="str">
        <f aca="false">HYPERLINK("https://mncourtfraud.com/file/MCRO_27-CR-22-14541_Order-Evaluation for Competency to Proceed (Rule 20.01)_2024-04-23_20240429161626.pdf","MCRO_27-CR-22-14541_Order-Evaluation for Competency to Proceed (Rule 20.01)_2024-04-23_20240429161626.pdf")</f>
        <v>MCRO_27-CR-22-14541_Order-Evaluation for Competency to Proceed (Rule 20.01)_2024-04-23_20240429161626.pdf</v>
      </c>
      <c r="G293" s="8" t="str">
        <f aca="false">HYPERLINK("https://mncourtfraud.com/file/b8f016f1aca96dff23b44923f0e2de769470970db2d06369f58a5b71c045a5dd.png","b8f016f1aca96dff23b44923f0e2de769470970db2d06369f58a5b71c045a5dd")</f>
        <v>b8f016f1aca96dff23b44923f0e2de769470970db2d06369f58a5b71c045a5dd</v>
      </c>
      <c r="H293" s="1" t="s">
        <v>1460</v>
      </c>
      <c r="I293" s="3" t="s">
        <v>1550</v>
      </c>
      <c r="J293" s="1" t="s">
        <v>1482</v>
      </c>
      <c r="K293" s="3" t="n">
        <v>4560</v>
      </c>
      <c r="L293" s="15" t="s">
        <v>1487</v>
      </c>
      <c r="M293" s="1" t="s">
        <v>1484</v>
      </c>
      <c r="N293" s="9" t="n">
        <v>45406</v>
      </c>
      <c r="O293" s="10" t="s">
        <v>1551</v>
      </c>
      <c r="P293" s="1" t="n">
        <v>740</v>
      </c>
      <c r="Q293" s="1" t="n">
        <v>310</v>
      </c>
    </row>
    <row r="294" customFormat="false" ht="18.7" hidden="false" customHeight="true" outlineLevel="0" collapsed="false">
      <c r="A294" s="1" t="n">
        <v>293</v>
      </c>
      <c r="B294" s="7" t="str">
        <f aca="false">HYPERLINK("https://mncourtfraud.com/file/RJC-2.zip","RJC-2.zip")</f>
        <v>RJC-2.zip</v>
      </c>
      <c r="C294" s="8" t="str">
        <f aca="false">HYPERLINK("https://mncourtfraud.com/file/27-CR-22-15358.pdf","27-CR-22-15358")</f>
        <v>27-CR-22-15358</v>
      </c>
      <c r="D294" s="3" t="s">
        <v>1471</v>
      </c>
      <c r="E294" s="9" t="n">
        <v>45405</v>
      </c>
      <c r="F294" s="8" t="str">
        <f aca="false">HYPERLINK("https://mncourtfraud.com/file/MCRO_27-CR-22-15358_Order-Evaluation for Competency to Proceed (Rule 20.01)_2024-04-23_20240429161719.pdf","MCRO_27-CR-22-15358_Order-Evaluation for Competency to Proceed (Rule 20.01)_2024-04-23_20240429161719.pdf")</f>
        <v>MCRO_27-CR-22-15358_Order-Evaluation for Competency to Proceed (Rule 20.01)_2024-04-23_20240429161719.pdf</v>
      </c>
      <c r="G294" s="8" t="str">
        <f aca="false">HYPERLINK("https://mncourtfraud.com/file/b8f016f1aca96dff23b44923f0e2de769470970db2d06369f58a5b71c045a5dd.png","b8f016f1aca96dff23b44923f0e2de769470970db2d06369f58a5b71c045a5dd")</f>
        <v>b8f016f1aca96dff23b44923f0e2de769470970db2d06369f58a5b71c045a5dd</v>
      </c>
      <c r="H294" s="1" t="s">
        <v>1460</v>
      </c>
      <c r="I294" s="3" t="s">
        <v>1550</v>
      </c>
      <c r="J294" s="1" t="s">
        <v>1482</v>
      </c>
      <c r="K294" s="3" t="n">
        <v>4560</v>
      </c>
      <c r="L294" s="15" t="s">
        <v>1487</v>
      </c>
      <c r="M294" s="1" t="s">
        <v>1484</v>
      </c>
      <c r="N294" s="9" t="n">
        <v>45406</v>
      </c>
      <c r="O294" s="10" t="s">
        <v>1551</v>
      </c>
      <c r="P294" s="1" t="n">
        <v>740</v>
      </c>
      <c r="Q294" s="1" t="n">
        <v>310</v>
      </c>
    </row>
    <row r="295" customFormat="false" ht="18.7" hidden="false" customHeight="true" outlineLevel="0" collapsed="false">
      <c r="A295" s="1" t="n">
        <v>294</v>
      </c>
      <c r="E295" s="9"/>
      <c r="K295" s="3"/>
      <c r="L295" s="15"/>
      <c r="N295" s="9"/>
      <c r="O295" s="10"/>
      <c r="P295" s="1"/>
      <c r="Q295" s="1"/>
    </row>
    <row r="296" customFormat="false" ht="18.7" hidden="false" customHeight="true" outlineLevel="0" collapsed="false">
      <c r="A296" s="1" t="n">
        <v>295</v>
      </c>
      <c r="B296" s="7" t="str">
        <f aca="false">HYPERLINK("https://mncourtfraud.com/file/RJC-3.zip","RJC-3.zip")</f>
        <v>RJC-3.zip</v>
      </c>
      <c r="C296" s="8" t="str">
        <f aca="false">HYPERLINK("https://mncourtfraud.com/file/27-CR-20-27550.pdf","27-CR-20-27550")</f>
        <v>27-CR-20-27550</v>
      </c>
      <c r="D296" s="3" t="s">
        <v>1356</v>
      </c>
      <c r="E296" s="9" t="n">
        <v>45302</v>
      </c>
      <c r="F296" s="8" t="str">
        <f aca="false">HYPERLINK("https://mncourtfraud.com/file/MCRO_27-CR-20-27550_Order-Evaluation for Competency to Proceed (Rule 20.01)_2024-01-11_20240430090704.pdf","MCRO_27-CR-20-27550_Order-Evaluation for Competency to Proceed (Rule 20.01)_2024-01-11_20240430090704.pdf")</f>
        <v>MCRO_27-CR-20-27550_Order-Evaluation for Competency to Proceed (Rule 20.01)_2024-01-11_20240430090704.pdf</v>
      </c>
      <c r="G296" s="8" t="str">
        <f aca="false">HYPERLINK("https://mncourtfraud.com/file/d44a044ab275049cf4d18566d5e916a91268f306c27dbd7046c8c525b9982b76.png","d44a044ab275049cf4d18566d5e916a91268f306c27dbd7046c8c525b9982b76")</f>
        <v>d44a044ab275049cf4d18566d5e916a91268f306c27dbd7046c8c525b9982b76</v>
      </c>
      <c r="H296" s="1" t="s">
        <v>1460</v>
      </c>
      <c r="I296" s="3" t="s">
        <v>1552</v>
      </c>
      <c r="J296" s="1" t="s">
        <v>1482</v>
      </c>
      <c r="K296" s="3" t="n">
        <v>4936</v>
      </c>
      <c r="L296" s="15" t="s">
        <v>1487</v>
      </c>
      <c r="M296" s="1" t="s">
        <v>1484</v>
      </c>
      <c r="N296" s="9" t="n">
        <v>45302</v>
      </c>
      <c r="O296" s="10" t="s">
        <v>1553</v>
      </c>
      <c r="P296" s="1" t="n">
        <v>2050</v>
      </c>
      <c r="Q296" s="1" t="n">
        <v>200</v>
      </c>
    </row>
    <row r="297" customFormat="false" ht="18.7" hidden="false" customHeight="true" outlineLevel="0" collapsed="false">
      <c r="A297" s="1" t="n">
        <v>296</v>
      </c>
      <c r="B297" s="7" t="str">
        <f aca="false">HYPERLINK("https://mncourtfraud.com/file/RJC-3.zip","RJC-3.zip")</f>
        <v>RJC-3.zip</v>
      </c>
      <c r="C297" s="8" t="str">
        <f aca="false">HYPERLINK("https://mncourtfraud.com/file/27-CR-22-14541.pdf","27-CR-22-14541")</f>
        <v>27-CR-22-14541</v>
      </c>
      <c r="D297" s="3" t="s">
        <v>1471</v>
      </c>
      <c r="E297" s="9" t="n">
        <v>45302</v>
      </c>
      <c r="F297" s="8" t="str">
        <f aca="false">HYPERLINK("https://mncourtfraud.com/file/MCRO_27-CR-22-14541_Order-Evaluation for Competency to Proceed (Rule 20.01)_2024-01-11_20240429161629.pdf","MCRO_27-CR-22-14541_Order-Evaluation for Competency to Proceed (Rule 20.01)_2024-01-11_20240429161629.pdf")</f>
        <v>MCRO_27-CR-22-14541_Order-Evaluation for Competency to Proceed (Rule 20.01)_2024-01-11_20240429161629.pdf</v>
      </c>
      <c r="G297" s="8" t="str">
        <f aca="false">HYPERLINK("https://mncourtfraud.com/file/d44a044ab275049cf4d18566d5e916a91268f306c27dbd7046c8c525b9982b76.png","d44a044ab275049cf4d18566d5e916a91268f306c27dbd7046c8c525b9982b76")</f>
        <v>d44a044ab275049cf4d18566d5e916a91268f306c27dbd7046c8c525b9982b76</v>
      </c>
      <c r="H297" s="1" t="s">
        <v>1460</v>
      </c>
      <c r="I297" s="3" t="s">
        <v>1552</v>
      </c>
      <c r="J297" s="1" t="s">
        <v>1482</v>
      </c>
      <c r="K297" s="3" t="n">
        <v>4936</v>
      </c>
      <c r="L297" s="15" t="s">
        <v>1487</v>
      </c>
      <c r="M297" s="1" t="s">
        <v>1484</v>
      </c>
      <c r="N297" s="9" t="n">
        <v>45302</v>
      </c>
      <c r="O297" s="10" t="s">
        <v>1553</v>
      </c>
      <c r="P297" s="1" t="n">
        <v>2050</v>
      </c>
      <c r="Q297" s="1" t="n">
        <v>200</v>
      </c>
    </row>
    <row r="298" customFormat="false" ht="18.7" hidden="false" customHeight="true" outlineLevel="0" collapsed="false">
      <c r="A298" s="1" t="n">
        <v>297</v>
      </c>
      <c r="B298" s="7" t="str">
        <f aca="false">HYPERLINK("https://mncourtfraud.com/file/RJC-3.zip","RJC-3.zip")</f>
        <v>RJC-3.zip</v>
      </c>
      <c r="C298" s="8" t="str">
        <f aca="false">HYPERLINK("https://mncourtfraud.com/file/27-CR-22-15358.pdf","27-CR-22-15358")</f>
        <v>27-CR-22-15358</v>
      </c>
      <c r="D298" s="3" t="s">
        <v>1471</v>
      </c>
      <c r="E298" s="9" t="n">
        <v>45302</v>
      </c>
      <c r="F298" s="8" t="str">
        <f aca="false">HYPERLINK("https://mncourtfraud.com/file/MCRO_27-CR-22-15358_Order-Evaluation for Competency to Proceed (Rule 20.01)_2024-01-11_20240429161723.pdf","MCRO_27-CR-22-15358_Order-Evaluation for Competency to Proceed (Rule 20.01)_2024-01-11_20240429161723.pdf")</f>
        <v>MCRO_27-CR-22-15358_Order-Evaluation for Competency to Proceed (Rule 20.01)_2024-01-11_20240429161723.pdf</v>
      </c>
      <c r="G298" s="8" t="str">
        <f aca="false">HYPERLINK("https://mncourtfraud.com/file/d44a044ab275049cf4d18566d5e916a91268f306c27dbd7046c8c525b9982b76.png","d44a044ab275049cf4d18566d5e916a91268f306c27dbd7046c8c525b9982b76")</f>
        <v>d44a044ab275049cf4d18566d5e916a91268f306c27dbd7046c8c525b9982b76</v>
      </c>
      <c r="H298" s="1" t="s">
        <v>1460</v>
      </c>
      <c r="I298" s="3" t="s">
        <v>1552</v>
      </c>
      <c r="J298" s="1" t="s">
        <v>1482</v>
      </c>
      <c r="K298" s="3" t="n">
        <v>4936</v>
      </c>
      <c r="L298" s="15" t="s">
        <v>1487</v>
      </c>
      <c r="M298" s="1" t="s">
        <v>1484</v>
      </c>
      <c r="N298" s="9" t="n">
        <v>45302</v>
      </c>
      <c r="O298" s="10" t="s">
        <v>1553</v>
      </c>
      <c r="P298" s="1" t="n">
        <v>2050</v>
      </c>
      <c r="Q298" s="1" t="n">
        <v>200</v>
      </c>
    </row>
    <row r="299" customFormat="false" ht="18.7" hidden="false" customHeight="true" outlineLevel="0" collapsed="false">
      <c r="A299" s="1" t="n">
        <v>298</v>
      </c>
      <c r="E299" s="9"/>
      <c r="K299" s="3"/>
      <c r="L299" s="15"/>
      <c r="N299" s="9"/>
      <c r="O299" s="10"/>
      <c r="P299" s="1"/>
      <c r="Q299" s="1"/>
    </row>
    <row r="300" customFormat="false" ht="18.7" hidden="false" customHeight="true" outlineLevel="0" collapsed="false">
      <c r="A300" s="1" t="n">
        <v>299</v>
      </c>
      <c r="B300" s="7" t="str">
        <f aca="false">HYPERLINK("https://mncourtfraud.com/file/RJC-4.zip","RJC-4.zip")</f>
        <v>RJC-4.zip</v>
      </c>
      <c r="C300" s="8" t="str">
        <f aca="false">HYPERLINK("https://mncourtfraud.com/file/27-CR-20-27550.pdf","27-CR-20-27550")</f>
        <v>27-CR-20-27550</v>
      </c>
      <c r="D300" s="3" t="s">
        <v>1356</v>
      </c>
      <c r="E300" s="9" t="n">
        <v>45089</v>
      </c>
      <c r="F300" s="8" t="str">
        <f aca="false">HYPERLINK("https://mncourtfraud.com/file/MCRO_27-CR-20-27550_Order-Evaluation for Competency to Proceed (Rule 20.01)_2023-06-12_20240430090707.pdf","MCRO_27-CR-20-27550_Order-Evaluation for Competency to Proceed (Rule 20.01)_2023-06-12_20240430090707.pdf")</f>
        <v>MCRO_27-CR-20-27550_Order-Evaluation for Competency to Proceed (Rule 20.01)_2023-06-12_20240430090707.pdf</v>
      </c>
      <c r="G300" s="8" t="str">
        <f aca="false">HYPERLINK("https://mncourtfraud.com/file/f3e78c2b7eeea51bd4c52487785fae16c986957f538524adb9c98a5ad99b61e1.png","f3e78c2b7eeea51bd4c52487785fae16c986957f538524adb9c98a5ad99b61e1")</f>
        <v>f3e78c2b7eeea51bd4c52487785fae16c986957f538524adb9c98a5ad99b61e1</v>
      </c>
      <c r="H300" s="1" t="s">
        <v>1460</v>
      </c>
      <c r="I300" s="3" t="s">
        <v>1554</v>
      </c>
      <c r="J300" s="1" t="s">
        <v>1482</v>
      </c>
      <c r="K300" s="3" t="n">
        <v>3895</v>
      </c>
      <c r="L300" s="15" t="s">
        <v>1487</v>
      </c>
      <c r="M300" s="1" t="s">
        <v>1484</v>
      </c>
      <c r="N300" s="9" t="n">
        <v>45089</v>
      </c>
      <c r="O300" s="10" t="s">
        <v>1555</v>
      </c>
      <c r="P300" s="1" t="n">
        <v>2380</v>
      </c>
      <c r="Q300" s="1" t="n">
        <v>160</v>
      </c>
    </row>
    <row r="301" customFormat="false" ht="18.7" hidden="false" customHeight="true" outlineLevel="0" collapsed="false">
      <c r="A301" s="1" t="n">
        <v>300</v>
      </c>
      <c r="B301" s="7" t="str">
        <f aca="false">HYPERLINK("https://mncourtfraud.com/file/RJC-4.zip","RJC-4.zip")</f>
        <v>RJC-4.zip</v>
      </c>
      <c r="C301" s="8" t="str">
        <f aca="false">HYPERLINK("https://mncourtfraud.com/file/27-CR-22-14541.pdf","27-CR-22-14541")</f>
        <v>27-CR-22-14541</v>
      </c>
      <c r="D301" s="3" t="s">
        <v>1471</v>
      </c>
      <c r="E301" s="9" t="n">
        <v>45089</v>
      </c>
      <c r="F301" s="8" t="str">
        <f aca="false">HYPERLINK("https://mncourtfraud.com/file/MCRO_27-CR-22-14541_Order-Evaluation for Competency to Proceed (Rule 20.01)_2023-06-12_20240429161632.pdf","MCRO_27-CR-22-14541_Order-Evaluation for Competency to Proceed (Rule 20.01)_2023-06-12_20240429161632.pdf")</f>
        <v>MCRO_27-CR-22-14541_Order-Evaluation for Competency to Proceed (Rule 20.01)_2023-06-12_20240429161632.pdf</v>
      </c>
      <c r="G301" s="8" t="str">
        <f aca="false">HYPERLINK("https://mncourtfraud.com/file/f3e78c2b7eeea51bd4c52487785fae16c986957f538524adb9c98a5ad99b61e1.png","f3e78c2b7eeea51bd4c52487785fae16c986957f538524adb9c98a5ad99b61e1")</f>
        <v>f3e78c2b7eeea51bd4c52487785fae16c986957f538524adb9c98a5ad99b61e1</v>
      </c>
      <c r="H301" s="1" t="s">
        <v>1460</v>
      </c>
      <c r="I301" s="3" t="s">
        <v>1554</v>
      </c>
      <c r="J301" s="1" t="s">
        <v>1482</v>
      </c>
      <c r="K301" s="3" t="n">
        <v>3895</v>
      </c>
      <c r="L301" s="15" t="s">
        <v>1487</v>
      </c>
      <c r="M301" s="1" t="s">
        <v>1484</v>
      </c>
      <c r="N301" s="9" t="n">
        <v>45089</v>
      </c>
      <c r="O301" s="10" t="s">
        <v>1555</v>
      </c>
      <c r="P301" s="1" t="n">
        <v>2380</v>
      </c>
      <c r="Q301" s="1" t="n">
        <v>160</v>
      </c>
    </row>
    <row r="302" customFormat="false" ht="18.7" hidden="false" customHeight="true" outlineLevel="0" collapsed="false">
      <c r="A302" s="1" t="n">
        <v>301</v>
      </c>
      <c r="B302" s="7" t="str">
        <f aca="false">HYPERLINK("https://mncourtfraud.com/file/RJC-4.zip","RJC-4.zip")</f>
        <v>RJC-4.zip</v>
      </c>
      <c r="C302" s="8" t="str">
        <f aca="false">HYPERLINK("https://mncourtfraud.com/file/27-CR-22-15358.pdf","27-CR-22-15358")</f>
        <v>27-CR-22-15358</v>
      </c>
      <c r="D302" s="3" t="s">
        <v>1471</v>
      </c>
      <c r="E302" s="9" t="n">
        <v>45089</v>
      </c>
      <c r="F302" s="8" t="str">
        <f aca="false">HYPERLINK("https://mncourtfraud.com/file/MCRO_27-CR-22-15358_Order-Evaluation for Competency to Proceed (Rule 20.01)_2023-06-12_20240429161726.pdf","MCRO_27-CR-22-15358_Order-Evaluation for Competency to Proceed (Rule 20.01)_2023-06-12_20240429161726.pdf")</f>
        <v>MCRO_27-CR-22-15358_Order-Evaluation for Competency to Proceed (Rule 20.01)_2023-06-12_20240429161726.pdf</v>
      </c>
      <c r="G302" s="8" t="str">
        <f aca="false">HYPERLINK("https://mncourtfraud.com/file/f3e78c2b7eeea51bd4c52487785fae16c986957f538524adb9c98a5ad99b61e1.png","f3e78c2b7eeea51bd4c52487785fae16c986957f538524adb9c98a5ad99b61e1")</f>
        <v>f3e78c2b7eeea51bd4c52487785fae16c986957f538524adb9c98a5ad99b61e1</v>
      </c>
      <c r="H302" s="1" t="s">
        <v>1460</v>
      </c>
      <c r="I302" s="3" t="s">
        <v>1554</v>
      </c>
      <c r="J302" s="1" t="s">
        <v>1482</v>
      </c>
      <c r="K302" s="3" t="n">
        <v>3895</v>
      </c>
      <c r="L302" s="15" t="s">
        <v>1487</v>
      </c>
      <c r="M302" s="1" t="s">
        <v>1484</v>
      </c>
      <c r="N302" s="9" t="n">
        <v>45089</v>
      </c>
      <c r="O302" s="10" t="s">
        <v>1555</v>
      </c>
      <c r="P302" s="1" t="n">
        <v>2380</v>
      </c>
      <c r="Q302" s="1" t="n">
        <v>160</v>
      </c>
    </row>
    <row r="303" customFormat="false" ht="18.7" hidden="false" customHeight="true" outlineLevel="0" collapsed="false">
      <c r="A303" s="1" t="n">
        <v>302</v>
      </c>
      <c r="E303" s="9"/>
      <c r="K303" s="3"/>
      <c r="L303" s="15"/>
      <c r="N303" s="9"/>
      <c r="O303" s="10"/>
      <c r="P303" s="1"/>
      <c r="Q303" s="1"/>
    </row>
    <row r="304" customFormat="false" ht="18.7" hidden="false" customHeight="true" outlineLevel="0" collapsed="false">
      <c r="A304" s="1" t="n">
        <v>303</v>
      </c>
      <c r="B304" s="7" t="str">
        <f aca="false">HYPERLINK("https://mncourtfraud.com/file/AMA-1.zip","AMA-1.zip")</f>
        <v>AMA-1.zip</v>
      </c>
      <c r="C304" s="8" t="str">
        <f aca="false">HYPERLINK("https://mncourtfraud.com/file/27-CR-22-21925.pdf","27-CR-22-21925")</f>
        <v>27-CR-22-21925</v>
      </c>
      <c r="D304" s="3" t="s">
        <v>1556</v>
      </c>
      <c r="E304" s="9" t="n">
        <v>44973</v>
      </c>
      <c r="F304" s="8" t="str">
        <f aca="false">HYPERLINK("https://mncourtfraud.com/file/MCRO_27-CR-22-21925_Finding of Incompetency and Order_2023-02-16_20240429162956.pdf","MCRO_27-CR-22-21925_Finding of Incompetency and Order_2023-02-16_20240429162956.pdf")</f>
        <v>MCRO_27-CR-22-21925_Finding of Incompetency and Order_2023-02-16_20240429162956.pdf</v>
      </c>
      <c r="G304" s="8" t="str">
        <f aca="false">HYPERLINK("https://mncourtfraud.com/file/512f2ff49cd8037f2e0e5219ae157cfecc71d1b07006827ea465998a321cb7e7.png","512f2ff49cd8037f2e0e5219ae157cfecc71d1b07006827ea465998a321cb7e7")</f>
        <v>512f2ff49cd8037f2e0e5219ae157cfecc71d1b07006827ea465998a321cb7e7</v>
      </c>
      <c r="H304" s="1" t="s">
        <v>1460</v>
      </c>
      <c r="I304" s="3" t="s">
        <v>1557</v>
      </c>
      <c r="J304" s="1" t="s">
        <v>1482</v>
      </c>
      <c r="K304" s="3" t="n">
        <v>2228</v>
      </c>
      <c r="L304" s="15" t="s">
        <v>1515</v>
      </c>
      <c r="M304" s="1" t="s">
        <v>1484</v>
      </c>
      <c r="N304" s="9" t="n">
        <v>44972</v>
      </c>
      <c r="O304" s="10" t="s">
        <v>1558</v>
      </c>
      <c r="P304" s="1" t="n">
        <v>1090</v>
      </c>
      <c r="Q304" s="1" t="n">
        <v>110</v>
      </c>
    </row>
    <row r="305" customFormat="false" ht="18.7" hidden="false" customHeight="true" outlineLevel="0" collapsed="false">
      <c r="A305" s="1" t="n">
        <v>304</v>
      </c>
      <c r="B305" s="7" t="str">
        <f aca="false">HYPERLINK("https://mncourtfraud.com/file/AMA-1.zip","AMA-1.zip")</f>
        <v>AMA-1.zip</v>
      </c>
      <c r="C305" s="8" t="str">
        <f aca="false">HYPERLINK("https://mncourtfraud.com/file/27-CR-22-23317.pdf","27-CR-22-23317")</f>
        <v>27-CR-22-23317</v>
      </c>
      <c r="D305" s="3" t="s">
        <v>1556</v>
      </c>
      <c r="E305" s="9" t="n">
        <v>44973</v>
      </c>
      <c r="F305" s="8" t="str">
        <f aca="false">HYPERLINK("https://mncourtfraud.com/file/MCRO_27-CR-22-23317_Finding of Incompetency and Order_2023-02-16_20240429164130.pdf","MCRO_27-CR-22-23317_Finding of Incompetency and Order_2023-02-16_20240429164130.pdf")</f>
        <v>MCRO_27-CR-22-23317_Finding of Incompetency and Order_2023-02-16_20240429164130.pdf</v>
      </c>
      <c r="G305" s="8" t="str">
        <f aca="false">HYPERLINK("https://mncourtfraud.com/file/512f2ff49cd8037f2e0e5219ae157cfecc71d1b07006827ea465998a321cb7e7.png","512f2ff49cd8037f2e0e5219ae157cfecc71d1b07006827ea465998a321cb7e7")</f>
        <v>512f2ff49cd8037f2e0e5219ae157cfecc71d1b07006827ea465998a321cb7e7</v>
      </c>
      <c r="H305" s="1" t="s">
        <v>1460</v>
      </c>
      <c r="I305" s="3" t="s">
        <v>1557</v>
      </c>
      <c r="J305" s="1" t="s">
        <v>1482</v>
      </c>
      <c r="K305" s="3" t="n">
        <v>2228</v>
      </c>
      <c r="L305" s="15" t="s">
        <v>1515</v>
      </c>
      <c r="M305" s="1" t="s">
        <v>1484</v>
      </c>
      <c r="N305" s="9" t="n">
        <v>44972</v>
      </c>
      <c r="O305" s="10" t="s">
        <v>1558</v>
      </c>
      <c r="P305" s="1" t="n">
        <v>1090</v>
      </c>
      <c r="Q305" s="1" t="n">
        <v>110</v>
      </c>
    </row>
    <row r="306" customFormat="false" ht="18.7" hidden="false" customHeight="true" outlineLevel="0" collapsed="false">
      <c r="A306" s="1" t="n">
        <v>305</v>
      </c>
      <c r="B306" s="7" t="str">
        <f aca="false">HYPERLINK("https://mncourtfraud.com/file/AMA-1.zip","AMA-1.zip")</f>
        <v>AMA-1.zip</v>
      </c>
      <c r="C306" s="8" t="str">
        <f aca="false">HYPERLINK("https://mncourtfraud.com/file/27-CR-23-512.pdf","27-CR-23-512")</f>
        <v>27-CR-23-512</v>
      </c>
      <c r="D306" s="3" t="s">
        <v>1556</v>
      </c>
      <c r="E306" s="9" t="n">
        <v>44973</v>
      </c>
      <c r="F306" s="8" t="str">
        <f aca="false">HYPERLINK("https://mncourtfraud.com/file/MCRO_27-CR-23-512_Finding of Incompetency and Order_2023-02-16_20240430071935.pdf","MCRO_27-CR-23-512_Finding of Incompetency and Order_2023-02-16_20240430071935.pdf")</f>
        <v>MCRO_27-CR-23-512_Finding of Incompetency and Order_2023-02-16_20240430071935.pdf</v>
      </c>
      <c r="G306" s="8" t="str">
        <f aca="false">HYPERLINK("https://mncourtfraud.com/file/512f2ff49cd8037f2e0e5219ae157cfecc71d1b07006827ea465998a321cb7e7.png","512f2ff49cd8037f2e0e5219ae157cfecc71d1b07006827ea465998a321cb7e7")</f>
        <v>512f2ff49cd8037f2e0e5219ae157cfecc71d1b07006827ea465998a321cb7e7</v>
      </c>
      <c r="H306" s="1" t="s">
        <v>1460</v>
      </c>
      <c r="I306" s="3" t="s">
        <v>1557</v>
      </c>
      <c r="J306" s="1" t="s">
        <v>1482</v>
      </c>
      <c r="K306" s="3" t="n">
        <v>2228</v>
      </c>
      <c r="L306" s="15" t="s">
        <v>1515</v>
      </c>
      <c r="M306" s="1" t="s">
        <v>1484</v>
      </c>
      <c r="N306" s="9" t="n">
        <v>44972</v>
      </c>
      <c r="O306" s="10" t="s">
        <v>1558</v>
      </c>
      <c r="P306" s="1" t="n">
        <v>1090</v>
      </c>
      <c r="Q306" s="1" t="n">
        <v>110</v>
      </c>
    </row>
    <row r="307" customFormat="false" ht="18.7" hidden="false" customHeight="true" outlineLevel="0" collapsed="false">
      <c r="A307" s="1" t="n">
        <v>306</v>
      </c>
      <c r="B307" s="7" t="str">
        <f aca="false">HYPERLINK("https://mncourtfraud.com/file/AMA-1.zip","AMA-1.zip")</f>
        <v>AMA-1.zip</v>
      </c>
      <c r="C307" s="8" t="str">
        <f aca="false">HYPERLINK("https://mncourtfraud.com/file/27-CR-22-21925.pdf","27-CR-22-21925")</f>
        <v>27-CR-22-21925</v>
      </c>
      <c r="D307" s="3" t="s">
        <v>1556</v>
      </c>
      <c r="E307" s="9" t="n">
        <v>44973</v>
      </c>
      <c r="F307" s="8" t="str">
        <f aca="false">HYPERLINK("https://mncourtfraud.com/file/MCRO_27-CR-22-21925_Finding of Incompetency and Order_2023-02-16_20240429162956.pdf","MCRO_27-CR-22-21925_Finding of Incompetency and Order_2023-02-16_20240429162956.pdf")</f>
        <v>MCRO_27-CR-22-21925_Finding of Incompetency and Order_2023-02-16_20240429162956.pdf</v>
      </c>
      <c r="G307" s="8" t="str">
        <f aca="false">HYPERLINK("https://mncourtfraud.com/file/512f2ff49cd8037f2e0e5219ae157cfecc71d1b07006827ea465998a321cb7e7.png","512f2ff49cd8037f2e0e5219ae157cfecc71d1b07006827ea465998a321cb7e7")</f>
        <v>512f2ff49cd8037f2e0e5219ae157cfecc71d1b07006827ea465998a321cb7e7</v>
      </c>
      <c r="H307" s="1" t="s">
        <v>1460</v>
      </c>
      <c r="I307" s="3" t="s">
        <v>1557</v>
      </c>
      <c r="J307" s="1" t="s">
        <v>1482</v>
      </c>
      <c r="K307" s="3" t="n">
        <v>2228</v>
      </c>
      <c r="L307" s="15" t="s">
        <v>1515</v>
      </c>
      <c r="M307" s="1" t="s">
        <v>1484</v>
      </c>
      <c r="N307" s="9" t="n">
        <v>44972</v>
      </c>
      <c r="O307" s="10" t="s">
        <v>1558</v>
      </c>
      <c r="P307" s="1" t="n">
        <v>1090</v>
      </c>
      <c r="Q307" s="1" t="n">
        <v>110</v>
      </c>
    </row>
    <row r="308" customFormat="false" ht="18.7" hidden="false" customHeight="true" outlineLevel="0" collapsed="false">
      <c r="A308" s="1" t="n">
        <v>307</v>
      </c>
      <c r="B308" s="7" t="str">
        <f aca="false">HYPERLINK("https://mncourtfraud.com/file/AMA-1.zip","AMA-1.zip")</f>
        <v>AMA-1.zip</v>
      </c>
      <c r="C308" s="8" t="str">
        <f aca="false">HYPERLINK("https://mncourtfraud.com/file/27-CR-22-23317.pdf","27-CR-22-23317")</f>
        <v>27-CR-22-23317</v>
      </c>
      <c r="D308" s="3" t="s">
        <v>1556</v>
      </c>
      <c r="E308" s="9" t="n">
        <v>44973</v>
      </c>
      <c r="F308" s="8" t="str">
        <f aca="false">HYPERLINK("https://mncourtfraud.com/file/MCRO_27-CR-22-23317_Finding of Incompetency and Order_2023-02-16_20240429164130.pdf","MCRO_27-CR-22-23317_Finding of Incompetency and Order_2023-02-16_20240429164130.pdf")</f>
        <v>MCRO_27-CR-22-23317_Finding of Incompetency and Order_2023-02-16_20240429164130.pdf</v>
      </c>
      <c r="G308" s="8" t="str">
        <f aca="false">HYPERLINK("https://mncourtfraud.com/file/512f2ff49cd8037f2e0e5219ae157cfecc71d1b07006827ea465998a321cb7e7.png","512f2ff49cd8037f2e0e5219ae157cfecc71d1b07006827ea465998a321cb7e7")</f>
        <v>512f2ff49cd8037f2e0e5219ae157cfecc71d1b07006827ea465998a321cb7e7</v>
      </c>
      <c r="H308" s="1" t="s">
        <v>1460</v>
      </c>
      <c r="I308" s="3" t="s">
        <v>1557</v>
      </c>
      <c r="J308" s="1" t="s">
        <v>1482</v>
      </c>
      <c r="K308" s="3" t="n">
        <v>2228</v>
      </c>
      <c r="L308" s="15" t="s">
        <v>1515</v>
      </c>
      <c r="M308" s="1" t="s">
        <v>1484</v>
      </c>
      <c r="N308" s="9" t="n">
        <v>44972</v>
      </c>
      <c r="O308" s="10" t="s">
        <v>1558</v>
      </c>
      <c r="P308" s="1" t="n">
        <v>1090</v>
      </c>
      <c r="Q308" s="1" t="n">
        <v>110</v>
      </c>
    </row>
    <row r="309" customFormat="false" ht="18.7" hidden="false" customHeight="true" outlineLevel="0" collapsed="false">
      <c r="A309" s="1" t="n">
        <v>308</v>
      </c>
      <c r="B309" s="7" t="str">
        <f aca="false">HYPERLINK("https://mncourtfraud.com/file/AMA-1.zip","AMA-1.zip")</f>
        <v>AMA-1.zip</v>
      </c>
      <c r="C309" s="8" t="str">
        <f aca="false">HYPERLINK("https://mncourtfraud.com/file/27-CR-23-512.pdf","27-CR-23-512")</f>
        <v>27-CR-23-512</v>
      </c>
      <c r="D309" s="3" t="s">
        <v>1556</v>
      </c>
      <c r="E309" s="9" t="n">
        <v>44973</v>
      </c>
      <c r="F309" s="8" t="str">
        <f aca="false">HYPERLINK("https://mncourtfraud.com/file/MCRO_27-CR-23-512_Finding of Incompetency and Order_2023-02-16_20240430071935.pdf","MCRO_27-CR-23-512_Finding of Incompetency and Order_2023-02-16_20240430071935.pdf")</f>
        <v>MCRO_27-CR-23-512_Finding of Incompetency and Order_2023-02-16_20240430071935.pdf</v>
      </c>
      <c r="G309" s="8" t="str">
        <f aca="false">HYPERLINK("https://mncourtfraud.com/file/512f2ff49cd8037f2e0e5219ae157cfecc71d1b07006827ea465998a321cb7e7.png","512f2ff49cd8037f2e0e5219ae157cfecc71d1b07006827ea465998a321cb7e7")</f>
        <v>512f2ff49cd8037f2e0e5219ae157cfecc71d1b07006827ea465998a321cb7e7</v>
      </c>
      <c r="H309" s="1" t="s">
        <v>1460</v>
      </c>
      <c r="I309" s="3" t="s">
        <v>1557</v>
      </c>
      <c r="J309" s="1" t="s">
        <v>1482</v>
      </c>
      <c r="K309" s="3" t="n">
        <v>2228</v>
      </c>
      <c r="L309" s="15" t="s">
        <v>1515</v>
      </c>
      <c r="M309" s="1" t="s">
        <v>1484</v>
      </c>
      <c r="N309" s="9" t="n">
        <v>44972</v>
      </c>
      <c r="O309" s="10" t="s">
        <v>1558</v>
      </c>
      <c r="P309" s="1" t="n">
        <v>1090</v>
      </c>
      <c r="Q309" s="1" t="n">
        <v>110</v>
      </c>
    </row>
    <row r="310" customFormat="false" ht="18.7" hidden="false" customHeight="true" outlineLevel="0" collapsed="false">
      <c r="A310" s="1" t="n">
        <v>309</v>
      </c>
      <c r="E310" s="9"/>
      <c r="K310" s="3"/>
      <c r="L310" s="15"/>
      <c r="N310" s="9"/>
      <c r="O310" s="10"/>
      <c r="P310" s="1"/>
      <c r="Q310" s="1"/>
    </row>
    <row r="311" customFormat="false" ht="18.7" hidden="false" customHeight="true" outlineLevel="0" collapsed="false">
      <c r="A311" s="1" t="n">
        <v>310</v>
      </c>
      <c r="B311" s="7" t="str">
        <f aca="false">HYPERLINK("https://mncourtfraud.com/file/AMA-2.zip","AMA-2.zip")</f>
        <v>AMA-2.zip</v>
      </c>
      <c r="C311" s="8" t="str">
        <f aca="false">HYPERLINK("https://mncourtfraud.com/file/27-CR-22-21925.pdf","27-CR-22-21925")</f>
        <v>27-CR-22-21925</v>
      </c>
      <c r="D311" s="3" t="s">
        <v>1556</v>
      </c>
      <c r="E311" s="9" t="n">
        <v>45012</v>
      </c>
      <c r="F311" s="8" t="str">
        <f aca="false">HYPERLINK("https://mncourtfraud.com/file/MCRO_27-CR-22-21925_Order for Dismissal_2023-03-27_20240429162955.pdf","MCRO_27-CR-22-21925_Order for Dismissal_2023-03-27_20240429162955.pdf")</f>
        <v>MCRO_27-CR-22-21925_Order for Dismissal_2023-03-27_20240429162955.pdf</v>
      </c>
      <c r="G311" s="8" t="str">
        <f aca="false">HYPERLINK("https://mncourtfraud.com/file/e675de747f37fb4a8f3dc6066abf5a50d892c2314985854b2d97923f237781c4.png","e675de747f37fb4a8f3dc6066abf5a50d892c2314985854b2d97923f237781c4")</f>
        <v>e675de747f37fb4a8f3dc6066abf5a50d892c2314985854b2d97923f237781c4</v>
      </c>
      <c r="H311" s="1" t="s">
        <v>1460</v>
      </c>
      <c r="I311" s="3" t="s">
        <v>1559</v>
      </c>
      <c r="J311" s="1" t="s">
        <v>1482</v>
      </c>
      <c r="K311" s="3" t="n">
        <v>3932</v>
      </c>
      <c r="L311" s="15" t="s">
        <v>1483</v>
      </c>
      <c r="M311" s="1" t="s">
        <v>1484</v>
      </c>
      <c r="N311" s="9" t="n">
        <v>45012</v>
      </c>
      <c r="O311" s="10" t="s">
        <v>1560</v>
      </c>
      <c r="P311" s="1" t="n">
        <v>1610</v>
      </c>
      <c r="Q311" s="1" t="n">
        <v>160</v>
      </c>
    </row>
    <row r="312" customFormat="false" ht="18.7" hidden="false" customHeight="true" outlineLevel="0" collapsed="false">
      <c r="A312" s="1" t="n">
        <v>311</v>
      </c>
      <c r="B312" s="7" t="str">
        <f aca="false">HYPERLINK("https://mncourtfraud.com/file/AMA-2.zip","AMA-2.zip")</f>
        <v>AMA-2.zip</v>
      </c>
      <c r="C312" s="8" t="str">
        <f aca="false">HYPERLINK("https://mncourtfraud.com/file/27-CR-23-512.pdf","27-CR-23-512")</f>
        <v>27-CR-23-512</v>
      </c>
      <c r="D312" s="3" t="s">
        <v>1556</v>
      </c>
      <c r="E312" s="9" t="n">
        <v>45012</v>
      </c>
      <c r="F312" s="8" t="str">
        <f aca="false">HYPERLINK("https://mncourtfraud.com/file/MCRO_27-CR-23-512_Order for Dismissal_2023-03-27_20240430071931.pdf","MCRO_27-CR-23-512_Order for Dismissal_2023-03-27_20240430071931.pdf")</f>
        <v>MCRO_27-CR-23-512_Order for Dismissal_2023-03-27_20240430071931.pdf</v>
      </c>
      <c r="G312" s="8" t="str">
        <f aca="false">HYPERLINK("https://mncourtfraud.com/file/e675de747f37fb4a8f3dc6066abf5a50d892c2314985854b2d97923f237781c4.png","e675de747f37fb4a8f3dc6066abf5a50d892c2314985854b2d97923f237781c4")</f>
        <v>e675de747f37fb4a8f3dc6066abf5a50d892c2314985854b2d97923f237781c4</v>
      </c>
      <c r="H312" s="1" t="s">
        <v>1460</v>
      </c>
      <c r="I312" s="3" t="s">
        <v>1559</v>
      </c>
      <c r="J312" s="1" t="s">
        <v>1482</v>
      </c>
      <c r="K312" s="3" t="n">
        <v>3932</v>
      </c>
      <c r="L312" s="15" t="s">
        <v>1483</v>
      </c>
      <c r="M312" s="1" t="s">
        <v>1484</v>
      </c>
      <c r="N312" s="9" t="n">
        <v>45012</v>
      </c>
      <c r="O312" s="10" t="s">
        <v>1560</v>
      </c>
      <c r="P312" s="1" t="n">
        <v>1610</v>
      </c>
      <c r="Q312" s="1" t="n">
        <v>160</v>
      </c>
    </row>
    <row r="313" customFormat="false" ht="18.7" hidden="false" customHeight="true" outlineLevel="0" collapsed="false">
      <c r="A313" s="1" t="n">
        <v>312</v>
      </c>
      <c r="B313" s="7" t="str">
        <f aca="false">HYPERLINK("https://mncourtfraud.com/file/AMA-2.zip","AMA-2.zip")</f>
        <v>AMA-2.zip</v>
      </c>
      <c r="C313" s="8" t="str">
        <f aca="false">HYPERLINK("https://mncourtfraud.com/file/27-CR-23-883.pdf","27-CR-23-883")</f>
        <v>27-CR-23-883</v>
      </c>
      <c r="D313" s="3" t="s">
        <v>1556</v>
      </c>
      <c r="E313" s="9" t="n">
        <v>45012</v>
      </c>
      <c r="F313" s="8" t="str">
        <f aca="false">HYPERLINK("https://mncourtfraud.com/file/MCRO_27-CR-23-883_Order for Dismissal_2023-03-27_20240430072026.pdf","MCRO_27-CR-23-883_Order for Dismissal_2023-03-27_20240430072026.pdf")</f>
        <v>MCRO_27-CR-23-883_Order for Dismissal_2023-03-27_20240430072026.pdf</v>
      </c>
      <c r="G313" s="8" t="str">
        <f aca="false">HYPERLINK("https://mncourtfraud.com/file/e675de747f37fb4a8f3dc6066abf5a50d892c2314985854b2d97923f237781c4.png","e675de747f37fb4a8f3dc6066abf5a50d892c2314985854b2d97923f237781c4")</f>
        <v>e675de747f37fb4a8f3dc6066abf5a50d892c2314985854b2d97923f237781c4</v>
      </c>
      <c r="H313" s="1" t="s">
        <v>1460</v>
      </c>
      <c r="I313" s="3" t="s">
        <v>1559</v>
      </c>
      <c r="J313" s="1" t="s">
        <v>1482</v>
      </c>
      <c r="K313" s="3" t="n">
        <v>3932</v>
      </c>
      <c r="L313" s="15" t="s">
        <v>1483</v>
      </c>
      <c r="M313" s="1" t="s">
        <v>1484</v>
      </c>
      <c r="N313" s="9" t="n">
        <v>45012</v>
      </c>
      <c r="O313" s="10" t="s">
        <v>1560</v>
      </c>
      <c r="P313" s="1" t="n">
        <v>1610</v>
      </c>
      <c r="Q313" s="1" t="n">
        <v>160</v>
      </c>
    </row>
    <row r="314" customFormat="false" ht="18.7" hidden="false" customHeight="true" outlineLevel="0" collapsed="false">
      <c r="A314" s="1" t="n">
        <v>313</v>
      </c>
      <c r="E314" s="9"/>
      <c r="K314" s="3"/>
      <c r="L314" s="15"/>
      <c r="N314" s="9"/>
      <c r="O314" s="10"/>
      <c r="P314" s="1"/>
      <c r="Q314" s="1"/>
    </row>
    <row r="315" customFormat="false" ht="18.7" hidden="false" customHeight="true" outlineLevel="0" collapsed="false">
      <c r="A315" s="1" t="n">
        <v>314</v>
      </c>
      <c r="B315" s="7" t="str">
        <f aca="false">HYPERLINK("https://mncourtfraud.com/file/BLC-2.zip","BLC-2.zip")</f>
        <v>BLC-2.zip</v>
      </c>
      <c r="C315" s="8" t="str">
        <f aca="false">HYPERLINK("https://mncourtfraud.com/file/27-CR-21-19723.pdf","27-CR-21-19723")</f>
        <v>27-CR-21-19723</v>
      </c>
      <c r="D315" s="3" t="s">
        <v>1464</v>
      </c>
      <c r="E315" s="9" t="n">
        <v>45238</v>
      </c>
      <c r="F315" s="8" t="str">
        <f aca="false">HYPERLINK("https://mncourtfraud.com/file/MCRO_27-CR-21-19723_Order-Evaluation for Competency to Proceed (Rule 20.01)_2023-11-08_20240430082931.pdf","MCRO_27-CR-21-19723_Order-Evaluation for Competency to Proceed (Rule 20.01)_2023-11-08_20240430082931.pdf")</f>
        <v>MCRO_27-CR-21-19723_Order-Evaluation for Competency to Proceed (Rule 20.01)_2023-11-08_20240430082931.pdf</v>
      </c>
      <c r="G315" s="8" t="str">
        <f aca="false">HYPERLINK("https://mncourtfraud.com/file/63a80506d6bf758a048a96a40feeb99073d966d104fa9b98785d23768cb00643.png","63a80506d6bf758a048a96a40feeb99073d966d104fa9b98785d23768cb00643")</f>
        <v>63a80506d6bf758a048a96a40feeb99073d966d104fa9b98785d23768cb00643</v>
      </c>
      <c r="H315" s="1" t="s">
        <v>1460</v>
      </c>
      <c r="I315" s="3" t="s">
        <v>1561</v>
      </c>
      <c r="J315" s="1" t="s">
        <v>1482</v>
      </c>
      <c r="K315" s="3" t="n">
        <v>4512</v>
      </c>
      <c r="L315" s="15" t="s">
        <v>1483</v>
      </c>
      <c r="M315" s="1" t="s">
        <v>1484</v>
      </c>
      <c r="N315" s="9" t="n">
        <v>45237</v>
      </c>
      <c r="O315" s="10" t="s">
        <v>1562</v>
      </c>
      <c r="P315" s="1" t="n">
        <v>2710</v>
      </c>
      <c r="Q315" s="1" t="n">
        <v>170</v>
      </c>
    </row>
    <row r="316" customFormat="false" ht="18.7" hidden="false" customHeight="true" outlineLevel="0" collapsed="false">
      <c r="A316" s="1" t="n">
        <v>315</v>
      </c>
      <c r="B316" s="7" t="str">
        <f aca="false">HYPERLINK("https://mncourtfraud.com/file/BLC-2.zip","BLC-2.zip")</f>
        <v>BLC-2.zip</v>
      </c>
      <c r="C316" s="8" t="str">
        <f aca="false">HYPERLINK("https://mncourtfraud.com/file/27-CR-21-23456.pdf","27-CR-21-23456")</f>
        <v>27-CR-21-23456</v>
      </c>
      <c r="D316" s="3" t="s">
        <v>1464</v>
      </c>
      <c r="E316" s="9" t="n">
        <v>45238</v>
      </c>
      <c r="F316" s="8" t="str">
        <f aca="false">HYPERLINK("https://mncourtfraud.com/file/MCRO_27-CR-21-23456_Order-Evaluation for Competency to Proceed (Rule 20.01)_2023-11-08_20240430084307.pdf","MCRO_27-CR-21-23456_Order-Evaluation for Competency to Proceed (Rule 20.01)_2023-11-08_20240430084307.pdf")</f>
        <v>MCRO_27-CR-21-23456_Order-Evaluation for Competency to Proceed (Rule 20.01)_2023-11-08_20240430084307.pdf</v>
      </c>
      <c r="G316" s="8" t="str">
        <f aca="false">HYPERLINK("https://mncourtfraud.com/file/63a80506d6bf758a048a96a40feeb99073d966d104fa9b98785d23768cb00643.png","63a80506d6bf758a048a96a40feeb99073d966d104fa9b98785d23768cb00643")</f>
        <v>63a80506d6bf758a048a96a40feeb99073d966d104fa9b98785d23768cb00643</v>
      </c>
      <c r="H316" s="1" t="s">
        <v>1460</v>
      </c>
      <c r="I316" s="3" t="s">
        <v>1561</v>
      </c>
      <c r="J316" s="1" t="s">
        <v>1482</v>
      </c>
      <c r="K316" s="3" t="n">
        <v>4512</v>
      </c>
      <c r="L316" s="15" t="s">
        <v>1483</v>
      </c>
      <c r="M316" s="1" t="s">
        <v>1484</v>
      </c>
      <c r="N316" s="9" t="n">
        <v>45237</v>
      </c>
      <c r="O316" s="10" t="s">
        <v>1562</v>
      </c>
      <c r="P316" s="1" t="n">
        <v>2710</v>
      </c>
      <c r="Q316" s="1" t="n">
        <v>170</v>
      </c>
    </row>
    <row r="317" customFormat="false" ht="18.7" hidden="false" customHeight="true" outlineLevel="0" collapsed="false">
      <c r="A317" s="1" t="n">
        <v>316</v>
      </c>
      <c r="B317" s="7" t="str">
        <f aca="false">HYPERLINK("https://mncourtfraud.com/file/BLC-2.zip","BLC-2.zip")</f>
        <v>BLC-2.zip</v>
      </c>
      <c r="C317" s="8" t="str">
        <f aca="false">HYPERLINK("https://mncourtfraud.com/file/27-CR-22-15550.pdf","27-CR-22-15550")</f>
        <v>27-CR-22-15550</v>
      </c>
      <c r="D317" s="3" t="s">
        <v>1464</v>
      </c>
      <c r="E317" s="9" t="n">
        <v>45238</v>
      </c>
      <c r="F317" s="8" t="str">
        <f aca="false">HYPERLINK("https://mncourtfraud.com/file/MCRO_27-CR-22-15550_Order-Evaluation for Competency to Proceed (Rule 20.01)_2023-11-08_20240429161909.pdf","MCRO_27-CR-22-15550_Order-Evaluation for Competency to Proceed (Rule 20.01)_2023-11-08_20240429161909.pdf")</f>
        <v>MCRO_27-CR-22-15550_Order-Evaluation for Competency to Proceed (Rule 20.01)_2023-11-08_20240429161909.pdf</v>
      </c>
      <c r="G317" s="8" t="str">
        <f aca="false">HYPERLINK("https://mncourtfraud.com/file/63a80506d6bf758a048a96a40feeb99073d966d104fa9b98785d23768cb00643.png","63a80506d6bf758a048a96a40feeb99073d966d104fa9b98785d23768cb00643")</f>
        <v>63a80506d6bf758a048a96a40feeb99073d966d104fa9b98785d23768cb00643</v>
      </c>
      <c r="H317" s="1" t="s">
        <v>1460</v>
      </c>
      <c r="I317" s="3" t="s">
        <v>1561</v>
      </c>
      <c r="J317" s="1" t="s">
        <v>1482</v>
      </c>
      <c r="K317" s="3" t="n">
        <v>4512</v>
      </c>
      <c r="L317" s="15" t="s">
        <v>1483</v>
      </c>
      <c r="M317" s="1" t="s">
        <v>1484</v>
      </c>
      <c r="N317" s="9" t="n">
        <v>45237</v>
      </c>
      <c r="O317" s="10" t="s">
        <v>1562</v>
      </c>
      <c r="P317" s="1" t="n">
        <v>2710</v>
      </c>
      <c r="Q317" s="1" t="n">
        <v>170</v>
      </c>
    </row>
    <row r="318" customFormat="false" ht="18.7" hidden="false" customHeight="true" outlineLevel="0" collapsed="false">
      <c r="A318" s="1" t="n">
        <v>317</v>
      </c>
      <c r="E318" s="9"/>
      <c r="K318" s="3"/>
      <c r="L318" s="15"/>
      <c r="N318" s="9"/>
      <c r="O318" s="10"/>
      <c r="P318" s="1"/>
      <c r="Q318" s="1"/>
    </row>
    <row r="319" customFormat="false" ht="18.7" hidden="false" customHeight="true" outlineLevel="0" collapsed="false">
      <c r="A319" s="1" t="n">
        <v>318</v>
      </c>
      <c r="B319" s="7" t="str">
        <f aca="false">HYPERLINK("https://mncourtfraud.com/file/BLC-3.zip","BLC-3.zip")</f>
        <v>BLC-3.zip</v>
      </c>
      <c r="C319" s="8" t="str">
        <f aca="false">HYPERLINK("https://mncourtfraud.com/file/27-CR-21-19723.pdf","27-CR-21-19723")</f>
        <v>27-CR-21-19723</v>
      </c>
      <c r="D319" s="3" t="s">
        <v>1464</v>
      </c>
      <c r="E319" s="9" t="n">
        <v>45119</v>
      </c>
      <c r="F319" s="8" t="str">
        <f aca="false">HYPERLINK("https://mncourtfraud.com/file/MCRO_27-CR-21-19723_Finding of Incompetency and Order_2023-07-12_20240430082933.pdf","MCRO_27-CR-21-19723_Finding of Incompetency and Order_2023-07-12_20240430082933.pdf")</f>
        <v>MCRO_27-CR-21-19723_Finding of Incompetency and Order_2023-07-12_20240430082933.pdf</v>
      </c>
      <c r="G319" s="8" t="str">
        <f aca="false">HYPERLINK("https://mncourtfraud.com/file/a38cc237babf9c7e5c2ee1feb0fd25ef58f9fec4e04511353277f2ccf13e03c9.png","a38cc237babf9c7e5c2ee1feb0fd25ef58f9fec4e04511353277f2ccf13e03c9")</f>
        <v>a38cc237babf9c7e5c2ee1feb0fd25ef58f9fec4e04511353277f2ccf13e03c9</v>
      </c>
      <c r="H319" s="1" t="s">
        <v>1460</v>
      </c>
      <c r="I319" s="3" t="s">
        <v>1563</v>
      </c>
      <c r="J319" s="1" t="s">
        <v>1482</v>
      </c>
      <c r="K319" s="3" t="n">
        <v>3654</v>
      </c>
      <c r="L319" s="15" t="s">
        <v>1487</v>
      </c>
      <c r="M319" s="1" t="s">
        <v>1484</v>
      </c>
      <c r="N319" s="9" t="n">
        <v>45118</v>
      </c>
      <c r="O319" s="10" t="s">
        <v>1564</v>
      </c>
      <c r="P319" s="1" t="n">
        <v>1780</v>
      </c>
      <c r="Q319" s="1" t="n">
        <v>160</v>
      </c>
    </row>
    <row r="320" customFormat="false" ht="18.7" hidden="false" customHeight="true" outlineLevel="0" collapsed="false">
      <c r="A320" s="1" t="n">
        <v>319</v>
      </c>
      <c r="B320" s="7" t="str">
        <f aca="false">HYPERLINK("https://mncourtfraud.com/file/BLC-3.zip","BLC-3.zip")</f>
        <v>BLC-3.zip</v>
      </c>
      <c r="C320" s="8" t="str">
        <f aca="false">HYPERLINK("https://mncourtfraud.com/file/27-CR-21-23456.pdf","27-CR-21-23456")</f>
        <v>27-CR-21-23456</v>
      </c>
      <c r="D320" s="3" t="s">
        <v>1464</v>
      </c>
      <c r="E320" s="9" t="n">
        <v>45119</v>
      </c>
      <c r="F320" s="8" t="str">
        <f aca="false">HYPERLINK("https://mncourtfraud.com/file/MCRO_27-CR-21-23456_Finding of Incompetency and Order_2023-07-12_20240430084309.pdf","MCRO_27-CR-21-23456_Finding of Incompetency and Order_2023-07-12_20240430084309.pdf")</f>
        <v>MCRO_27-CR-21-23456_Finding of Incompetency and Order_2023-07-12_20240430084309.pdf</v>
      </c>
      <c r="G320" s="8" t="str">
        <f aca="false">HYPERLINK("https://mncourtfraud.com/file/a38cc237babf9c7e5c2ee1feb0fd25ef58f9fec4e04511353277f2ccf13e03c9.png","a38cc237babf9c7e5c2ee1feb0fd25ef58f9fec4e04511353277f2ccf13e03c9")</f>
        <v>a38cc237babf9c7e5c2ee1feb0fd25ef58f9fec4e04511353277f2ccf13e03c9</v>
      </c>
      <c r="H320" s="1" t="s">
        <v>1460</v>
      </c>
      <c r="I320" s="3" t="s">
        <v>1563</v>
      </c>
      <c r="J320" s="1" t="s">
        <v>1482</v>
      </c>
      <c r="K320" s="3" t="n">
        <v>3654</v>
      </c>
      <c r="L320" s="15" t="s">
        <v>1487</v>
      </c>
      <c r="M320" s="1" t="s">
        <v>1484</v>
      </c>
      <c r="N320" s="9" t="n">
        <v>45118</v>
      </c>
      <c r="O320" s="10" t="s">
        <v>1564</v>
      </c>
      <c r="P320" s="1" t="n">
        <v>1780</v>
      </c>
      <c r="Q320" s="1" t="n">
        <v>160</v>
      </c>
    </row>
    <row r="321" customFormat="false" ht="18.7" hidden="false" customHeight="true" outlineLevel="0" collapsed="false">
      <c r="A321" s="1" t="n">
        <v>320</v>
      </c>
      <c r="B321" s="7" t="str">
        <f aca="false">HYPERLINK("https://mncourtfraud.com/file/BLC-3.zip","BLC-3.zip")</f>
        <v>BLC-3.zip</v>
      </c>
      <c r="C321" s="8" t="str">
        <f aca="false">HYPERLINK("https://mncourtfraud.com/file/27-CR-22-15550.pdf","27-CR-22-15550")</f>
        <v>27-CR-22-15550</v>
      </c>
      <c r="D321" s="3" t="s">
        <v>1464</v>
      </c>
      <c r="E321" s="9" t="n">
        <v>45119</v>
      </c>
      <c r="F321" s="8" t="str">
        <f aca="false">HYPERLINK("https://mncourtfraud.com/file/MCRO_27-CR-22-15550_Finding of Incompetency and Order_2023-07-12_20240429161911.pdf","MCRO_27-CR-22-15550_Finding of Incompetency and Order_2023-07-12_20240429161911.pdf")</f>
        <v>MCRO_27-CR-22-15550_Finding of Incompetency and Order_2023-07-12_20240429161911.pdf</v>
      </c>
      <c r="G321" s="8" t="str">
        <f aca="false">HYPERLINK("https://mncourtfraud.com/file/a38cc237babf9c7e5c2ee1feb0fd25ef58f9fec4e04511353277f2ccf13e03c9.png","a38cc237babf9c7e5c2ee1feb0fd25ef58f9fec4e04511353277f2ccf13e03c9")</f>
        <v>a38cc237babf9c7e5c2ee1feb0fd25ef58f9fec4e04511353277f2ccf13e03c9</v>
      </c>
      <c r="H321" s="1" t="s">
        <v>1460</v>
      </c>
      <c r="I321" s="3" t="s">
        <v>1563</v>
      </c>
      <c r="J321" s="1" t="s">
        <v>1482</v>
      </c>
      <c r="K321" s="3" t="n">
        <v>3654</v>
      </c>
      <c r="L321" s="15" t="s">
        <v>1487</v>
      </c>
      <c r="M321" s="1" t="s">
        <v>1484</v>
      </c>
      <c r="N321" s="9" t="n">
        <v>45118</v>
      </c>
      <c r="O321" s="10" t="s">
        <v>1564</v>
      </c>
      <c r="P321" s="1" t="n">
        <v>1780</v>
      </c>
      <c r="Q321" s="1" t="n">
        <v>160</v>
      </c>
    </row>
    <row r="322" customFormat="false" ht="18.7" hidden="false" customHeight="true" outlineLevel="0" collapsed="false">
      <c r="A322" s="1" t="n">
        <v>321</v>
      </c>
      <c r="B322" s="7" t="str">
        <f aca="false">HYPERLINK("https://mncourtfraud.com/file/BLC-3.zip","BLC-3.zip")</f>
        <v>BLC-3.zip</v>
      </c>
      <c r="C322" s="8" t="str">
        <f aca="false">HYPERLINK("https://mncourtfraud.com/file/27-CR-21-19723.pdf","27-CR-21-19723")</f>
        <v>27-CR-21-19723</v>
      </c>
      <c r="D322" s="3" t="s">
        <v>1464</v>
      </c>
      <c r="E322" s="9" t="n">
        <v>45119</v>
      </c>
      <c r="F322" s="8" t="str">
        <f aca="false">HYPERLINK("https://mncourtfraud.com/file/MCRO_27-CR-21-19723_Finding of Incompetency and Order_2023-07-12_20240430082933.pdf","MCRO_27-CR-21-19723_Finding of Incompetency and Order_2023-07-12_20240430082933.pdf")</f>
        <v>MCRO_27-CR-21-19723_Finding of Incompetency and Order_2023-07-12_20240430082933.pdf</v>
      </c>
      <c r="G322" s="8" t="str">
        <f aca="false">HYPERLINK("https://mncourtfraud.com/file/a38cc237babf9c7e5c2ee1feb0fd25ef58f9fec4e04511353277f2ccf13e03c9.png","a38cc237babf9c7e5c2ee1feb0fd25ef58f9fec4e04511353277f2ccf13e03c9")</f>
        <v>a38cc237babf9c7e5c2ee1feb0fd25ef58f9fec4e04511353277f2ccf13e03c9</v>
      </c>
      <c r="H322" s="1" t="s">
        <v>1460</v>
      </c>
      <c r="I322" s="3" t="s">
        <v>1563</v>
      </c>
      <c r="J322" s="1" t="s">
        <v>1482</v>
      </c>
      <c r="K322" s="3" t="n">
        <v>3654</v>
      </c>
      <c r="L322" s="15" t="s">
        <v>1487</v>
      </c>
      <c r="M322" s="1" t="s">
        <v>1484</v>
      </c>
      <c r="N322" s="9" t="n">
        <v>45118</v>
      </c>
      <c r="O322" s="10" t="s">
        <v>1564</v>
      </c>
      <c r="P322" s="1" t="n">
        <v>1780</v>
      </c>
      <c r="Q322" s="1" t="n">
        <v>160</v>
      </c>
    </row>
    <row r="323" customFormat="false" ht="18.7" hidden="false" customHeight="true" outlineLevel="0" collapsed="false">
      <c r="A323" s="1" t="n">
        <v>322</v>
      </c>
      <c r="B323" s="7" t="str">
        <f aca="false">HYPERLINK("https://mncourtfraud.com/file/BLC-3.zip","BLC-3.zip")</f>
        <v>BLC-3.zip</v>
      </c>
      <c r="C323" s="8" t="str">
        <f aca="false">HYPERLINK("https://mncourtfraud.com/file/27-CR-21-23456.pdf","27-CR-21-23456")</f>
        <v>27-CR-21-23456</v>
      </c>
      <c r="D323" s="3" t="s">
        <v>1464</v>
      </c>
      <c r="E323" s="9" t="n">
        <v>45119</v>
      </c>
      <c r="F323" s="8" t="str">
        <f aca="false">HYPERLINK("https://mncourtfraud.com/file/MCRO_27-CR-21-23456_Finding of Incompetency and Order_2023-07-12_20240430084309.pdf","MCRO_27-CR-21-23456_Finding of Incompetency and Order_2023-07-12_20240430084309.pdf")</f>
        <v>MCRO_27-CR-21-23456_Finding of Incompetency and Order_2023-07-12_20240430084309.pdf</v>
      </c>
      <c r="G323" s="8" t="str">
        <f aca="false">HYPERLINK("https://mncourtfraud.com/file/a38cc237babf9c7e5c2ee1feb0fd25ef58f9fec4e04511353277f2ccf13e03c9.png","a38cc237babf9c7e5c2ee1feb0fd25ef58f9fec4e04511353277f2ccf13e03c9")</f>
        <v>a38cc237babf9c7e5c2ee1feb0fd25ef58f9fec4e04511353277f2ccf13e03c9</v>
      </c>
      <c r="H323" s="1" t="s">
        <v>1460</v>
      </c>
      <c r="I323" s="3" t="s">
        <v>1563</v>
      </c>
      <c r="J323" s="1" t="s">
        <v>1482</v>
      </c>
      <c r="K323" s="3" t="n">
        <v>3654</v>
      </c>
      <c r="L323" s="15" t="s">
        <v>1487</v>
      </c>
      <c r="M323" s="1" t="s">
        <v>1484</v>
      </c>
      <c r="N323" s="9" t="n">
        <v>45118</v>
      </c>
      <c r="O323" s="10" t="s">
        <v>1564</v>
      </c>
      <c r="P323" s="1" t="n">
        <v>1780</v>
      </c>
      <c r="Q323" s="1" t="n">
        <v>160</v>
      </c>
    </row>
    <row r="324" customFormat="false" ht="18.7" hidden="false" customHeight="true" outlineLevel="0" collapsed="false">
      <c r="A324" s="1" t="n">
        <v>323</v>
      </c>
      <c r="B324" s="7" t="str">
        <f aca="false">HYPERLINK("https://mncourtfraud.com/file/BLC-3.zip","BLC-3.zip")</f>
        <v>BLC-3.zip</v>
      </c>
      <c r="C324" s="8" t="str">
        <f aca="false">HYPERLINK("https://mncourtfraud.com/file/27-CR-22-15550.pdf","27-CR-22-15550")</f>
        <v>27-CR-22-15550</v>
      </c>
      <c r="D324" s="3" t="s">
        <v>1464</v>
      </c>
      <c r="E324" s="9" t="n">
        <v>45119</v>
      </c>
      <c r="F324" s="8" t="str">
        <f aca="false">HYPERLINK("https://mncourtfraud.com/file/MCRO_27-CR-22-15550_Finding of Incompetency and Order_2023-07-12_20240429161911.pdf","MCRO_27-CR-22-15550_Finding of Incompetency and Order_2023-07-12_20240429161911.pdf")</f>
        <v>MCRO_27-CR-22-15550_Finding of Incompetency and Order_2023-07-12_20240429161911.pdf</v>
      </c>
      <c r="G324" s="8" t="str">
        <f aca="false">HYPERLINK("https://mncourtfraud.com/file/a38cc237babf9c7e5c2ee1feb0fd25ef58f9fec4e04511353277f2ccf13e03c9.png","a38cc237babf9c7e5c2ee1feb0fd25ef58f9fec4e04511353277f2ccf13e03c9")</f>
        <v>a38cc237babf9c7e5c2ee1feb0fd25ef58f9fec4e04511353277f2ccf13e03c9</v>
      </c>
      <c r="H324" s="1" t="s">
        <v>1460</v>
      </c>
      <c r="I324" s="3" t="s">
        <v>1563</v>
      </c>
      <c r="J324" s="1" t="s">
        <v>1482</v>
      </c>
      <c r="K324" s="3" t="n">
        <v>3654</v>
      </c>
      <c r="L324" s="15" t="s">
        <v>1487</v>
      </c>
      <c r="M324" s="1" t="s">
        <v>1484</v>
      </c>
      <c r="N324" s="9" t="n">
        <v>45118</v>
      </c>
      <c r="O324" s="10" t="s">
        <v>1564</v>
      </c>
      <c r="P324" s="1" t="n">
        <v>1780</v>
      </c>
      <c r="Q324" s="1" t="n">
        <v>160</v>
      </c>
    </row>
    <row r="325" customFormat="false" ht="18.7" hidden="false" customHeight="true" outlineLevel="0" collapsed="false">
      <c r="A325" s="1" t="n">
        <v>324</v>
      </c>
      <c r="E325" s="9"/>
      <c r="K325" s="3"/>
      <c r="L325" s="15"/>
      <c r="N325" s="9"/>
      <c r="O325" s="10"/>
      <c r="P325" s="1"/>
      <c r="Q325" s="1"/>
    </row>
    <row r="326" customFormat="false" ht="18.7" hidden="false" customHeight="true" outlineLevel="0" collapsed="false">
      <c r="A326" s="1" t="n">
        <v>347</v>
      </c>
      <c r="B326" s="7" t="str">
        <f aca="false">HYPERLINK("https://mncourtfraud.com/file/WLN-2.zip","WLN-2.zip")</f>
        <v>WLN-2.zip</v>
      </c>
      <c r="C326" s="8" t="str">
        <f aca="false">HYPERLINK("https://mncourtfraud.com/file/27-CR-18-26530.pdf","27-CR-18-26530")</f>
        <v>27-CR-18-26530</v>
      </c>
      <c r="D326" s="3" t="s">
        <v>1472</v>
      </c>
      <c r="E326" s="9" t="n">
        <v>45180</v>
      </c>
      <c r="F326" s="8" t="str">
        <f aca="false">HYPERLINK("https://mncourtfraud.com/file/MCRO_27-CR-18-26530_Order-Evaluation for Competency to Proceed (Rule 20.01)_2023-09-11_20240430093350.pdf","MCRO_27-CR-18-26530_Order-Evaluation for Competency to Proceed (Rule 20.01)_2023-09-11_20240430093350.pdf")</f>
        <v>MCRO_27-CR-18-26530_Order-Evaluation for Competency to Proceed (Rule 20.01)_2023-09-11_20240430093350.pdf</v>
      </c>
      <c r="G326" s="8" t="str">
        <f aca="false">HYPERLINK("https://mncourtfraud.com/file/25b2306b2e2535c32e911b02ac2f0f4aaea5f66200be2a46343a501995459163.png","25b2306b2e2535c32e911b02ac2f0f4aaea5f66200be2a46343a501995459163")</f>
        <v>25b2306b2e2535c32e911b02ac2f0f4aaea5f66200be2a46343a501995459163</v>
      </c>
      <c r="H326" s="1" t="s">
        <v>1460</v>
      </c>
      <c r="I326" s="3" t="s">
        <v>1565</v>
      </c>
      <c r="J326" s="1" t="s">
        <v>1482</v>
      </c>
      <c r="K326" s="3" t="n">
        <v>5753</v>
      </c>
      <c r="L326" s="15" t="s">
        <v>1487</v>
      </c>
      <c r="M326" s="1" t="s">
        <v>1484</v>
      </c>
      <c r="N326" s="9" t="n">
        <v>45176</v>
      </c>
      <c r="O326" s="10" t="s">
        <v>1566</v>
      </c>
      <c r="P326" s="1" t="n">
        <v>2210</v>
      </c>
      <c r="Q326" s="1" t="n">
        <v>220</v>
      </c>
    </row>
    <row r="327" customFormat="false" ht="18.7" hidden="false" customHeight="true" outlineLevel="0" collapsed="false">
      <c r="A327" s="1" t="n">
        <v>348</v>
      </c>
      <c r="B327" s="7" t="str">
        <f aca="false">HYPERLINK("https://mncourtfraud.com/file/WLN-2.zip","WLN-2.zip")</f>
        <v>WLN-2.zip</v>
      </c>
      <c r="C327" s="8" t="str">
        <f aca="false">HYPERLINK("https://mncourtfraud.com/file/27-CR-22-3553.pdf","27-CR-22-3553")</f>
        <v>27-CR-22-3553</v>
      </c>
      <c r="D327" s="3" t="s">
        <v>1472</v>
      </c>
      <c r="E327" s="9" t="n">
        <v>45180</v>
      </c>
      <c r="F327" s="8" t="str">
        <f aca="false">HYPERLINK("https://mncourtfraud.com/file/MCRO_27-CR-22-3553_Order-Evaluation for Competency to Proceed (Rule 20.01)_2023-09-11_20240429032044.pdf","MCRO_27-CR-22-3553_Order-Evaluation for Competency to Proceed (Rule 20.01)_2023-09-11_20240429032044.pdf")</f>
        <v>MCRO_27-CR-22-3553_Order-Evaluation for Competency to Proceed (Rule 20.01)_2023-09-11_20240429032044.pdf</v>
      </c>
      <c r="G327" s="8" t="str">
        <f aca="false">HYPERLINK("https://mncourtfraud.com/file/25b2306b2e2535c32e911b02ac2f0f4aaea5f66200be2a46343a501995459163.png","25b2306b2e2535c32e911b02ac2f0f4aaea5f66200be2a46343a501995459163")</f>
        <v>25b2306b2e2535c32e911b02ac2f0f4aaea5f66200be2a46343a501995459163</v>
      </c>
      <c r="H327" s="1" t="s">
        <v>1460</v>
      </c>
      <c r="I327" s="3" t="s">
        <v>1565</v>
      </c>
      <c r="J327" s="1" t="s">
        <v>1482</v>
      </c>
      <c r="K327" s="3" t="n">
        <v>5753</v>
      </c>
      <c r="L327" s="15" t="s">
        <v>1487</v>
      </c>
      <c r="M327" s="1" t="s">
        <v>1484</v>
      </c>
      <c r="N327" s="9" t="n">
        <v>45176</v>
      </c>
      <c r="O327" s="10" t="s">
        <v>1566</v>
      </c>
      <c r="P327" s="1" t="n">
        <v>2210</v>
      </c>
      <c r="Q327" s="1" t="n">
        <v>220</v>
      </c>
    </row>
    <row r="328" customFormat="false" ht="18.7" hidden="false" customHeight="true" outlineLevel="0" collapsed="false">
      <c r="A328" s="1" t="n">
        <v>349</v>
      </c>
      <c r="E328" s="9"/>
      <c r="K328" s="3"/>
      <c r="L328" s="15"/>
      <c r="N328" s="9"/>
      <c r="O328" s="10"/>
      <c r="P328" s="1"/>
      <c r="Q328" s="1"/>
    </row>
    <row r="329" customFormat="false" ht="18.7" hidden="false" customHeight="true" outlineLevel="0" collapsed="false">
      <c r="A329" s="1" t="n">
        <v>350</v>
      </c>
      <c r="B329" s="7" t="str">
        <f aca="false">HYPERLINK("https://mncourtfraud.com/file/WLN-3.zip","WLN-3.zip")</f>
        <v>WLN-3.zip</v>
      </c>
      <c r="C329" s="8" t="str">
        <f aca="false">HYPERLINK("https://mncourtfraud.com/file/27-CR-18-26530.pdf","27-CR-18-26530")</f>
        <v>27-CR-18-26530</v>
      </c>
      <c r="D329" s="3" t="s">
        <v>1472</v>
      </c>
      <c r="E329" s="9" t="n">
        <v>45070</v>
      </c>
      <c r="F329" s="8" t="str">
        <f aca="false">HYPERLINK("https://mncourtfraud.com/file/MCRO_27-CR-18-26530_Finding of Incompetency and Order_2023-05-24_20240430093352.pdf","MCRO_27-CR-18-26530_Finding of Incompetency and Order_2023-05-24_20240430093352.pdf")</f>
        <v>MCRO_27-CR-18-26530_Finding of Incompetency and Order_2023-05-24_20240430093352.pdf</v>
      </c>
      <c r="G329" s="8" t="str">
        <f aca="false">HYPERLINK("https://mncourtfraud.com/file/7026b92cc00e4ed276ef56f379550d1fbe62b47149c0f1df5cf4753de1af68e8.png","7026b92cc00e4ed276ef56f379550d1fbe62b47149c0f1df5cf4753de1af68e8")</f>
        <v>7026b92cc00e4ed276ef56f379550d1fbe62b47149c0f1df5cf4753de1af68e8</v>
      </c>
      <c r="H329" s="1" t="s">
        <v>1460</v>
      </c>
      <c r="I329" s="3" t="s">
        <v>1567</v>
      </c>
      <c r="J329" s="1" t="s">
        <v>1482</v>
      </c>
      <c r="K329" s="3" t="n">
        <v>4299</v>
      </c>
      <c r="L329" s="15" t="s">
        <v>1526</v>
      </c>
      <c r="M329" s="1" t="s">
        <v>1484</v>
      </c>
      <c r="N329" s="9" t="n">
        <v>45069</v>
      </c>
      <c r="O329" s="10" t="s">
        <v>1568</v>
      </c>
      <c r="P329" s="1" t="n">
        <v>1400</v>
      </c>
      <c r="Q329" s="1" t="n">
        <v>190</v>
      </c>
    </row>
    <row r="330" customFormat="false" ht="18.7" hidden="false" customHeight="true" outlineLevel="0" collapsed="false">
      <c r="A330" s="1" t="n">
        <v>351</v>
      </c>
      <c r="B330" s="7" t="str">
        <f aca="false">HYPERLINK("https://mncourtfraud.com/file/WLN-3.zip","WLN-3.zip")</f>
        <v>WLN-3.zip</v>
      </c>
      <c r="C330" s="8" t="str">
        <f aca="false">HYPERLINK("https://mncourtfraud.com/file/27-CR-19-9270.pdf","27-CR-19-9270")</f>
        <v>27-CR-19-9270</v>
      </c>
      <c r="D330" s="3" t="s">
        <v>1472</v>
      </c>
      <c r="E330" s="9" t="n">
        <v>45070</v>
      </c>
      <c r="F330" s="8" t="str">
        <f aca="false">HYPERLINK("https://mncourtfraud.com/file/MCRO_27-CR-19-9270_Finding of Incompetency and Order_2023-05-24_20240430091450.pdf","MCRO_27-CR-19-9270_Finding of Incompetency and Order_2023-05-24_20240430091450.pdf")</f>
        <v>MCRO_27-CR-19-9270_Finding of Incompetency and Order_2023-05-24_20240430091450.pdf</v>
      </c>
      <c r="G330" s="8" t="str">
        <f aca="false">HYPERLINK("https://mncourtfraud.com/file/7026b92cc00e4ed276ef56f379550d1fbe62b47149c0f1df5cf4753de1af68e8.png","7026b92cc00e4ed276ef56f379550d1fbe62b47149c0f1df5cf4753de1af68e8")</f>
        <v>7026b92cc00e4ed276ef56f379550d1fbe62b47149c0f1df5cf4753de1af68e8</v>
      </c>
      <c r="H330" s="1" t="s">
        <v>1460</v>
      </c>
      <c r="I330" s="3" t="s">
        <v>1567</v>
      </c>
      <c r="J330" s="1" t="s">
        <v>1482</v>
      </c>
      <c r="K330" s="3" t="n">
        <v>4299</v>
      </c>
      <c r="L330" s="15" t="s">
        <v>1526</v>
      </c>
      <c r="M330" s="1" t="s">
        <v>1484</v>
      </c>
      <c r="N330" s="9" t="n">
        <v>45069</v>
      </c>
      <c r="O330" s="10" t="s">
        <v>1568</v>
      </c>
      <c r="P330" s="1" t="n">
        <v>1400</v>
      </c>
      <c r="Q330" s="1" t="n">
        <v>190</v>
      </c>
    </row>
    <row r="331" customFormat="false" ht="18.7" hidden="false" customHeight="true" outlineLevel="0" collapsed="false">
      <c r="A331" s="1" t="n">
        <v>352</v>
      </c>
      <c r="B331" s="7" t="str">
        <f aca="false">HYPERLINK("https://mncourtfraud.com/file/WLN-3.zip","WLN-3.zip")</f>
        <v>WLN-3.zip</v>
      </c>
      <c r="C331" s="8" t="str">
        <f aca="false">HYPERLINK("https://mncourtfraud.com/file/27-CR-22-3553.pdf","27-CR-22-3553")</f>
        <v>27-CR-22-3553</v>
      </c>
      <c r="D331" s="3" t="s">
        <v>1472</v>
      </c>
      <c r="E331" s="9" t="n">
        <v>45070</v>
      </c>
      <c r="F331" s="8" t="str">
        <f aca="false">HYPERLINK("https://mncourtfraud.com/file/MCRO_27-CR-22-3553_Finding of Incompetency and Order_2023-05-24_20240429032047.pdf","MCRO_27-CR-22-3553_Finding of Incompetency and Order_2023-05-24_20240429032047.pdf")</f>
        <v>MCRO_27-CR-22-3553_Finding of Incompetency and Order_2023-05-24_20240429032047.pdf</v>
      </c>
      <c r="G331" s="8" t="str">
        <f aca="false">HYPERLINK("https://mncourtfraud.com/file/7026b92cc00e4ed276ef56f379550d1fbe62b47149c0f1df5cf4753de1af68e8.png","7026b92cc00e4ed276ef56f379550d1fbe62b47149c0f1df5cf4753de1af68e8")</f>
        <v>7026b92cc00e4ed276ef56f379550d1fbe62b47149c0f1df5cf4753de1af68e8</v>
      </c>
      <c r="H331" s="1" t="s">
        <v>1460</v>
      </c>
      <c r="I331" s="3" t="s">
        <v>1567</v>
      </c>
      <c r="J331" s="1" t="s">
        <v>1482</v>
      </c>
      <c r="K331" s="3" t="n">
        <v>4299</v>
      </c>
      <c r="L331" s="15" t="s">
        <v>1526</v>
      </c>
      <c r="M331" s="1" t="s">
        <v>1484</v>
      </c>
      <c r="N331" s="9" t="n">
        <v>45069</v>
      </c>
      <c r="O331" s="10" t="s">
        <v>1568</v>
      </c>
      <c r="P331" s="1" t="n">
        <v>1400</v>
      </c>
      <c r="Q331" s="1" t="n">
        <v>190</v>
      </c>
    </row>
    <row r="332" customFormat="false" ht="18.7" hidden="false" customHeight="true" outlineLevel="0" collapsed="false">
      <c r="A332" s="1" t="n">
        <v>353</v>
      </c>
      <c r="B332" s="7" t="str">
        <f aca="false">HYPERLINK("https://mncourtfraud.com/file/WLN-3.zip","WLN-3.zip")</f>
        <v>WLN-3.zip</v>
      </c>
      <c r="C332" s="8" t="str">
        <f aca="false">HYPERLINK("https://mncourtfraud.com/file/27-CR-18-26530.pdf","27-CR-18-26530")</f>
        <v>27-CR-18-26530</v>
      </c>
      <c r="D332" s="3" t="s">
        <v>1472</v>
      </c>
      <c r="E332" s="9" t="n">
        <v>45070</v>
      </c>
      <c r="F332" s="8" t="str">
        <f aca="false">HYPERLINK("https://mncourtfraud.com/file/MCRO_27-CR-18-26530_Finding of Incompetency and Order_2023-05-24_20240430093352.pdf","MCRO_27-CR-18-26530_Finding of Incompetency and Order_2023-05-24_20240430093352.pdf")</f>
        <v>MCRO_27-CR-18-26530_Finding of Incompetency and Order_2023-05-24_20240430093352.pdf</v>
      </c>
      <c r="G332" s="8" t="str">
        <f aca="false">HYPERLINK("https://mncourtfraud.com/file/7026b92cc00e4ed276ef56f379550d1fbe62b47149c0f1df5cf4753de1af68e8.png","7026b92cc00e4ed276ef56f379550d1fbe62b47149c0f1df5cf4753de1af68e8")</f>
        <v>7026b92cc00e4ed276ef56f379550d1fbe62b47149c0f1df5cf4753de1af68e8</v>
      </c>
      <c r="H332" s="1" t="s">
        <v>1460</v>
      </c>
      <c r="I332" s="3" t="s">
        <v>1567</v>
      </c>
      <c r="J332" s="1" t="s">
        <v>1482</v>
      </c>
      <c r="K332" s="3" t="n">
        <v>4299</v>
      </c>
      <c r="L332" s="15" t="s">
        <v>1526</v>
      </c>
      <c r="M332" s="1" t="s">
        <v>1484</v>
      </c>
      <c r="N332" s="9" t="n">
        <v>45069</v>
      </c>
      <c r="O332" s="10" t="s">
        <v>1568</v>
      </c>
      <c r="P332" s="1" t="n">
        <v>1400</v>
      </c>
      <c r="Q332" s="1" t="n">
        <v>190</v>
      </c>
    </row>
    <row r="333" customFormat="false" ht="18.7" hidden="false" customHeight="true" outlineLevel="0" collapsed="false">
      <c r="A333" s="1" t="n">
        <v>354</v>
      </c>
      <c r="B333" s="7" t="str">
        <f aca="false">HYPERLINK("https://mncourtfraud.com/file/WLN-3.zip","WLN-3.zip")</f>
        <v>WLN-3.zip</v>
      </c>
      <c r="C333" s="8" t="str">
        <f aca="false">HYPERLINK("https://mncourtfraud.com/file/27-CR-19-9270.pdf","27-CR-19-9270")</f>
        <v>27-CR-19-9270</v>
      </c>
      <c r="D333" s="3" t="s">
        <v>1472</v>
      </c>
      <c r="E333" s="9" t="n">
        <v>45070</v>
      </c>
      <c r="F333" s="8" t="str">
        <f aca="false">HYPERLINK("https://mncourtfraud.com/file/MCRO_27-CR-19-9270_Finding of Incompetency and Order_2023-05-24_20240430091450.pdf","MCRO_27-CR-19-9270_Finding of Incompetency and Order_2023-05-24_20240430091450.pdf")</f>
        <v>MCRO_27-CR-19-9270_Finding of Incompetency and Order_2023-05-24_20240430091450.pdf</v>
      </c>
      <c r="G333" s="8" t="str">
        <f aca="false">HYPERLINK("https://mncourtfraud.com/file/7026b92cc00e4ed276ef56f379550d1fbe62b47149c0f1df5cf4753de1af68e8.png","7026b92cc00e4ed276ef56f379550d1fbe62b47149c0f1df5cf4753de1af68e8")</f>
        <v>7026b92cc00e4ed276ef56f379550d1fbe62b47149c0f1df5cf4753de1af68e8</v>
      </c>
      <c r="H333" s="1" t="s">
        <v>1460</v>
      </c>
      <c r="I333" s="3" t="s">
        <v>1567</v>
      </c>
      <c r="J333" s="1" t="s">
        <v>1482</v>
      </c>
      <c r="K333" s="3" t="n">
        <v>4299</v>
      </c>
      <c r="L333" s="15" t="s">
        <v>1526</v>
      </c>
      <c r="M333" s="1" t="s">
        <v>1484</v>
      </c>
      <c r="N333" s="9" t="n">
        <v>45069</v>
      </c>
      <c r="O333" s="10" t="s">
        <v>1568</v>
      </c>
      <c r="P333" s="1" t="n">
        <v>1400</v>
      </c>
      <c r="Q333" s="1" t="n">
        <v>190</v>
      </c>
    </row>
    <row r="334" customFormat="false" ht="18.7" hidden="false" customHeight="true" outlineLevel="0" collapsed="false">
      <c r="A334" s="1" t="n">
        <v>355</v>
      </c>
      <c r="B334" s="7" t="str">
        <f aca="false">HYPERLINK("https://mncourtfraud.com/file/WLN-3.zip","WLN-3.zip")</f>
        <v>WLN-3.zip</v>
      </c>
      <c r="C334" s="8" t="str">
        <f aca="false">HYPERLINK("https://mncourtfraud.com/file/27-CR-22-3553.pdf","27-CR-22-3553")</f>
        <v>27-CR-22-3553</v>
      </c>
      <c r="D334" s="3" t="s">
        <v>1472</v>
      </c>
      <c r="E334" s="9" t="n">
        <v>45070</v>
      </c>
      <c r="F334" s="8" t="str">
        <f aca="false">HYPERLINK("https://mncourtfraud.com/file/MCRO_27-CR-22-3553_Finding of Incompetency and Order_2023-05-24_20240429032047.pdf","MCRO_27-CR-22-3553_Finding of Incompetency and Order_2023-05-24_20240429032047.pdf")</f>
        <v>MCRO_27-CR-22-3553_Finding of Incompetency and Order_2023-05-24_20240429032047.pdf</v>
      </c>
      <c r="G334" s="8" t="str">
        <f aca="false">HYPERLINK("https://mncourtfraud.com/file/7026b92cc00e4ed276ef56f379550d1fbe62b47149c0f1df5cf4753de1af68e8.png","7026b92cc00e4ed276ef56f379550d1fbe62b47149c0f1df5cf4753de1af68e8")</f>
        <v>7026b92cc00e4ed276ef56f379550d1fbe62b47149c0f1df5cf4753de1af68e8</v>
      </c>
      <c r="H334" s="1" t="s">
        <v>1460</v>
      </c>
      <c r="I334" s="3" t="s">
        <v>1567</v>
      </c>
      <c r="J334" s="1" t="s">
        <v>1482</v>
      </c>
      <c r="K334" s="3" t="n">
        <v>4299</v>
      </c>
      <c r="L334" s="15" t="s">
        <v>1526</v>
      </c>
      <c r="M334" s="1" t="s">
        <v>1484</v>
      </c>
      <c r="N334" s="9" t="n">
        <v>45069</v>
      </c>
      <c r="O334" s="10" t="s">
        <v>1568</v>
      </c>
      <c r="P334" s="1" t="n">
        <v>1400</v>
      </c>
      <c r="Q334" s="1" t="n">
        <v>190</v>
      </c>
    </row>
    <row r="335" customFormat="false" ht="18.7" hidden="false" customHeight="true" outlineLevel="0" collapsed="false">
      <c r="A335" s="1" t="n">
        <v>356</v>
      </c>
      <c r="B335" s="0"/>
      <c r="C335" s="0"/>
      <c r="D335" s="0"/>
      <c r="E335" s="0"/>
      <c r="F335" s="0"/>
      <c r="G335" s="0"/>
      <c r="H335" s="0"/>
      <c r="I335" s="0"/>
      <c r="J335" s="0"/>
      <c r="K335" s="0"/>
      <c r="L335" s="0"/>
      <c r="M335" s="0"/>
      <c r="N335" s="0"/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AB335" s="0"/>
      <c r="AC335" s="0"/>
      <c r="AD335" s="0"/>
      <c r="AE335" s="0"/>
      <c r="AF335" s="0"/>
      <c r="AG335" s="0"/>
      <c r="AH335" s="0"/>
      <c r="AI335" s="0"/>
      <c r="AJ335" s="0"/>
      <c r="AK335" s="0"/>
      <c r="AL335" s="0"/>
      <c r="AM335" s="0"/>
      <c r="AN335" s="0"/>
      <c r="AO335" s="0"/>
      <c r="AP335" s="0"/>
      <c r="AQ335" s="0"/>
      <c r="AR335" s="0"/>
      <c r="AS335" s="0"/>
      <c r="AT335" s="0"/>
      <c r="AU335" s="0"/>
      <c r="AV335" s="0"/>
      <c r="AW335" s="0"/>
      <c r="AX335" s="0"/>
      <c r="AY335" s="0"/>
      <c r="AZ335" s="0"/>
      <c r="BA335" s="0"/>
      <c r="BB335" s="0"/>
      <c r="BC335" s="0"/>
      <c r="BD335" s="0"/>
      <c r="BE335" s="0"/>
      <c r="BF335" s="0"/>
      <c r="BG335" s="0"/>
      <c r="BH335" s="0"/>
      <c r="BI335" s="0"/>
      <c r="BJ335" s="0"/>
      <c r="BK335" s="0"/>
      <c r="BL335" s="0"/>
      <c r="BM335" s="0"/>
      <c r="BN335" s="0"/>
      <c r="BO335" s="0"/>
      <c r="BP335" s="0"/>
      <c r="BQ335" s="0"/>
      <c r="BR335" s="0"/>
      <c r="BS335" s="0"/>
      <c r="BT335" s="0"/>
      <c r="BU335" s="0"/>
      <c r="BV335" s="0"/>
      <c r="BW335" s="0"/>
      <c r="BX335" s="0"/>
      <c r="BY335" s="0"/>
      <c r="BZ335" s="0"/>
      <c r="CA335" s="0"/>
      <c r="CB335" s="0"/>
      <c r="CC335" s="0"/>
      <c r="CD335" s="0"/>
      <c r="CE335" s="0"/>
      <c r="CF335" s="0"/>
      <c r="CG335" s="0"/>
      <c r="CH335" s="0"/>
      <c r="CI335" s="0"/>
      <c r="CJ335" s="0"/>
      <c r="CK335" s="0"/>
      <c r="CL335" s="0"/>
      <c r="CM335" s="0"/>
      <c r="CN335" s="0"/>
      <c r="CO335" s="0"/>
      <c r="CP335" s="0"/>
      <c r="CQ335" s="0"/>
      <c r="CR335" s="0"/>
      <c r="CS335" s="0"/>
      <c r="CT335" s="0"/>
      <c r="CU335" s="0"/>
      <c r="CV335" s="0"/>
      <c r="CW335" s="0"/>
      <c r="CX335" s="0"/>
      <c r="CY335" s="0"/>
      <c r="CZ335" s="0"/>
      <c r="DA335" s="0"/>
      <c r="DB335" s="0"/>
      <c r="DC335" s="0"/>
      <c r="DD335" s="0"/>
      <c r="DE335" s="0"/>
      <c r="DF335" s="0"/>
      <c r="DG335" s="0"/>
      <c r="DH335" s="0"/>
      <c r="DI335" s="0"/>
      <c r="DJ335" s="0"/>
      <c r="DK335" s="0"/>
      <c r="DL335" s="0"/>
      <c r="DM335" s="0"/>
      <c r="DN335" s="0"/>
      <c r="DO335" s="0"/>
      <c r="DP335" s="0"/>
      <c r="DQ335" s="0"/>
      <c r="DR335" s="0"/>
      <c r="DS335" s="0"/>
      <c r="DT335" s="0"/>
      <c r="DU335" s="0"/>
      <c r="DV335" s="0"/>
      <c r="DW335" s="0"/>
      <c r="DX335" s="0"/>
      <c r="DY335" s="0"/>
      <c r="DZ335" s="0"/>
      <c r="EA335" s="0"/>
      <c r="EB335" s="0"/>
      <c r="EC335" s="0"/>
      <c r="ED335" s="0"/>
      <c r="EE335" s="0"/>
      <c r="EF335" s="0"/>
      <c r="EG335" s="0"/>
      <c r="EH335" s="0"/>
      <c r="EI335" s="0"/>
      <c r="EJ335" s="0"/>
      <c r="EK335" s="0"/>
      <c r="EL335" s="0"/>
      <c r="EM335" s="0"/>
      <c r="EN335" s="0"/>
      <c r="EO335" s="0"/>
      <c r="EP335" s="0"/>
      <c r="EQ335" s="0"/>
      <c r="ER335" s="0"/>
      <c r="ES335" s="0"/>
      <c r="ET335" s="0"/>
      <c r="EU335" s="0"/>
      <c r="EV335" s="0"/>
      <c r="EW335" s="0"/>
      <c r="EX335" s="0"/>
      <c r="EY335" s="0"/>
      <c r="EZ335" s="0"/>
      <c r="FA335" s="0"/>
      <c r="FB335" s="0"/>
      <c r="FC335" s="0"/>
      <c r="FD335" s="0"/>
      <c r="FE335" s="0"/>
      <c r="FF335" s="0"/>
      <c r="FG335" s="0"/>
      <c r="FH335" s="0"/>
      <c r="FI335" s="0"/>
      <c r="FJ335" s="0"/>
      <c r="FK335" s="0"/>
      <c r="FL335" s="0"/>
      <c r="FM335" s="0"/>
      <c r="FN335" s="0"/>
      <c r="FO335" s="0"/>
      <c r="FP335" s="0"/>
      <c r="FQ335" s="0"/>
      <c r="FR335" s="0"/>
      <c r="FS335" s="0"/>
      <c r="FT335" s="0"/>
      <c r="FU335" s="0"/>
      <c r="FV335" s="0"/>
      <c r="FW335" s="0"/>
      <c r="FX335" s="0"/>
      <c r="FY335" s="0"/>
      <c r="FZ335" s="0"/>
      <c r="GA335" s="0"/>
      <c r="GB335" s="0"/>
      <c r="GC335" s="0"/>
      <c r="GD335" s="0"/>
      <c r="GE335" s="0"/>
      <c r="GF335" s="0"/>
      <c r="GG335" s="0"/>
      <c r="GH335" s="0"/>
      <c r="GI335" s="0"/>
      <c r="GJ335" s="0"/>
      <c r="GK335" s="0"/>
      <c r="GL335" s="0"/>
      <c r="GM335" s="0"/>
      <c r="GN335" s="0"/>
      <c r="GO335" s="0"/>
      <c r="GP335" s="0"/>
      <c r="GQ335" s="0"/>
      <c r="GR335" s="0"/>
      <c r="GS335" s="0"/>
      <c r="GT335" s="0"/>
      <c r="GU335" s="0"/>
      <c r="GV335" s="0"/>
      <c r="GW335" s="0"/>
      <c r="GX335" s="0"/>
      <c r="GY335" s="0"/>
      <c r="GZ335" s="0"/>
      <c r="HA335" s="0"/>
      <c r="HB335" s="0"/>
      <c r="HC335" s="0"/>
      <c r="HD335" s="0"/>
      <c r="HE335" s="0"/>
      <c r="HF335" s="0"/>
      <c r="HG335" s="0"/>
      <c r="HH335" s="0"/>
      <c r="HI335" s="0"/>
      <c r="HJ335" s="0"/>
      <c r="HK335" s="0"/>
      <c r="HL335" s="0"/>
      <c r="HM335" s="0"/>
      <c r="HN335" s="0"/>
      <c r="HO335" s="0"/>
      <c r="HP335" s="0"/>
      <c r="HQ335" s="0"/>
      <c r="HR335" s="0"/>
      <c r="HS335" s="0"/>
      <c r="HT335" s="0"/>
      <c r="HU335" s="0"/>
      <c r="HV335" s="0"/>
      <c r="HW335" s="0"/>
      <c r="HX335" s="0"/>
      <c r="HY335" s="0"/>
      <c r="HZ335" s="0"/>
      <c r="IA335" s="0"/>
      <c r="IB335" s="0"/>
      <c r="IC335" s="0"/>
      <c r="ID335" s="0"/>
      <c r="IE335" s="0"/>
      <c r="IF335" s="0"/>
      <c r="IG335" s="0"/>
      <c r="IH335" s="0"/>
      <c r="II335" s="0"/>
      <c r="IJ335" s="0"/>
      <c r="IK335" s="0"/>
      <c r="IL335" s="0"/>
      <c r="IM335" s="0"/>
      <c r="IN335" s="0"/>
      <c r="IO335" s="0"/>
      <c r="IP335" s="0"/>
      <c r="IQ335" s="0"/>
      <c r="IR335" s="0"/>
      <c r="IS335" s="0"/>
      <c r="IT335" s="0"/>
      <c r="IU335" s="0"/>
      <c r="IV335" s="0"/>
      <c r="IW335" s="0"/>
      <c r="IX335" s="0"/>
      <c r="IY335" s="0"/>
      <c r="IZ335" s="0"/>
      <c r="JA335" s="0"/>
      <c r="JB335" s="0"/>
      <c r="JC335" s="0"/>
      <c r="JD335" s="0"/>
      <c r="JE335" s="0"/>
      <c r="JF335" s="0"/>
      <c r="JG335" s="0"/>
      <c r="JH335" s="0"/>
      <c r="JI335" s="0"/>
      <c r="JJ335" s="0"/>
      <c r="JK335" s="0"/>
      <c r="JL335" s="0"/>
      <c r="JM335" s="0"/>
      <c r="JN335" s="0"/>
      <c r="JO335" s="0"/>
      <c r="JP335" s="0"/>
      <c r="JQ335" s="0"/>
      <c r="JR335" s="0"/>
      <c r="JS335" s="0"/>
      <c r="JT335" s="0"/>
      <c r="JU335" s="0"/>
      <c r="JV335" s="0"/>
      <c r="JW335" s="0"/>
      <c r="JX335" s="0"/>
      <c r="JY335" s="0"/>
      <c r="JZ335" s="0"/>
      <c r="KA335" s="0"/>
      <c r="KB335" s="0"/>
      <c r="KC335" s="0"/>
      <c r="KD335" s="0"/>
      <c r="KE335" s="0"/>
      <c r="KF335" s="0"/>
      <c r="KG335" s="0"/>
      <c r="KH335" s="0"/>
      <c r="KI335" s="0"/>
      <c r="KJ335" s="0"/>
      <c r="KK335" s="0"/>
      <c r="KL335" s="0"/>
      <c r="KM335" s="0"/>
      <c r="KN335" s="0"/>
      <c r="KO335" s="0"/>
      <c r="KP335" s="0"/>
      <c r="KQ335" s="0"/>
      <c r="KR335" s="0"/>
      <c r="KS335" s="0"/>
      <c r="KT335" s="0"/>
      <c r="KU335" s="0"/>
      <c r="KV335" s="0"/>
      <c r="KW335" s="0"/>
      <c r="KX335" s="0"/>
      <c r="KY335" s="0"/>
      <c r="KZ335" s="0"/>
      <c r="LA335" s="0"/>
      <c r="LB335" s="0"/>
      <c r="LC335" s="0"/>
      <c r="LD335" s="0"/>
      <c r="LE335" s="0"/>
      <c r="LF335" s="0"/>
      <c r="LG335" s="0"/>
      <c r="LH335" s="0"/>
      <c r="LI335" s="0"/>
      <c r="LJ335" s="0"/>
      <c r="LK335" s="0"/>
      <c r="LL335" s="0"/>
      <c r="LM335" s="0"/>
      <c r="LN335" s="0"/>
      <c r="LO335" s="0"/>
      <c r="LP335" s="0"/>
      <c r="LQ335" s="0"/>
      <c r="LR335" s="0"/>
      <c r="LS335" s="0"/>
      <c r="LT335" s="0"/>
      <c r="LU335" s="0"/>
      <c r="LV335" s="0"/>
      <c r="LW335" s="0"/>
      <c r="LX335" s="0"/>
      <c r="LY335" s="0"/>
      <c r="LZ335" s="0"/>
      <c r="MA335" s="0"/>
      <c r="MB335" s="0"/>
      <c r="MC335" s="0"/>
      <c r="MD335" s="0"/>
      <c r="ME335" s="0"/>
      <c r="MF335" s="0"/>
      <c r="MG335" s="0"/>
      <c r="MH335" s="0"/>
      <c r="MI335" s="0"/>
      <c r="MJ335" s="0"/>
      <c r="MK335" s="0"/>
      <c r="ML335" s="0"/>
      <c r="MM335" s="0"/>
      <c r="MN335" s="0"/>
      <c r="MO335" s="0"/>
      <c r="MP335" s="0"/>
      <c r="MQ335" s="0"/>
      <c r="MR335" s="0"/>
      <c r="MS335" s="0"/>
      <c r="MT335" s="0"/>
      <c r="MU335" s="0"/>
      <c r="MV335" s="0"/>
      <c r="MW335" s="0"/>
      <c r="MX335" s="0"/>
      <c r="MY335" s="0"/>
      <c r="MZ335" s="0"/>
      <c r="NA335" s="0"/>
      <c r="NB335" s="0"/>
      <c r="NC335" s="0"/>
      <c r="ND335" s="0"/>
      <c r="NE335" s="0"/>
      <c r="NF335" s="0"/>
      <c r="NG335" s="0"/>
      <c r="NH335" s="0"/>
      <c r="NI335" s="0"/>
      <c r="NJ335" s="0"/>
      <c r="NK335" s="0"/>
      <c r="NL335" s="0"/>
      <c r="NM335" s="0"/>
      <c r="NN335" s="0"/>
      <c r="NO335" s="0"/>
      <c r="NP335" s="0"/>
      <c r="NQ335" s="0"/>
      <c r="NR335" s="0"/>
      <c r="NS335" s="0"/>
      <c r="NT335" s="0"/>
      <c r="NU335" s="0"/>
      <c r="NV335" s="0"/>
      <c r="NW335" s="0"/>
      <c r="NX335" s="0"/>
      <c r="NY335" s="0"/>
      <c r="NZ335" s="0"/>
      <c r="OA335" s="0"/>
      <c r="OB335" s="0"/>
      <c r="OC335" s="0"/>
      <c r="OD335" s="0"/>
      <c r="OE335" s="0"/>
      <c r="OF335" s="0"/>
      <c r="OG335" s="0"/>
      <c r="OH335" s="0"/>
      <c r="OI335" s="0"/>
      <c r="OJ335" s="0"/>
      <c r="OK335" s="0"/>
      <c r="OL335" s="0"/>
      <c r="OM335" s="0"/>
      <c r="ON335" s="0"/>
      <c r="OO335" s="0"/>
      <c r="OP335" s="0"/>
      <c r="OQ335" s="0"/>
      <c r="OR335" s="0"/>
      <c r="OS335" s="0"/>
      <c r="OT335" s="0"/>
      <c r="OU335" s="0"/>
      <c r="OV335" s="0"/>
      <c r="OW335" s="0"/>
      <c r="OX335" s="0"/>
      <c r="OY335" s="0"/>
      <c r="OZ335" s="0"/>
      <c r="PA335" s="0"/>
      <c r="PB335" s="0"/>
      <c r="PC335" s="0"/>
      <c r="PD335" s="0"/>
      <c r="PE335" s="0"/>
      <c r="PF335" s="0"/>
      <c r="PG335" s="0"/>
      <c r="PH335" s="0"/>
      <c r="PI335" s="0"/>
      <c r="PJ335" s="0"/>
      <c r="PK335" s="0"/>
      <c r="PL335" s="0"/>
      <c r="PM335" s="0"/>
      <c r="PN335" s="0"/>
      <c r="PO335" s="0"/>
      <c r="PP335" s="0"/>
      <c r="PQ335" s="0"/>
      <c r="PR335" s="0"/>
      <c r="PS335" s="0"/>
      <c r="PT335" s="0"/>
      <c r="PU335" s="0"/>
      <c r="PV335" s="0"/>
      <c r="PW335" s="0"/>
      <c r="PX335" s="0"/>
      <c r="PY335" s="0"/>
      <c r="PZ335" s="0"/>
      <c r="QA335" s="0"/>
      <c r="QB335" s="0"/>
      <c r="QC335" s="0"/>
      <c r="QD335" s="0"/>
      <c r="QE335" s="0"/>
      <c r="QF335" s="0"/>
      <c r="QG335" s="0"/>
      <c r="QH335" s="0"/>
      <c r="QI335" s="0"/>
      <c r="QJ335" s="0"/>
      <c r="QK335" s="0"/>
      <c r="QL335" s="0"/>
      <c r="QM335" s="0"/>
      <c r="QN335" s="0"/>
      <c r="QO335" s="0"/>
      <c r="QP335" s="0"/>
      <c r="QQ335" s="0"/>
      <c r="QR335" s="0"/>
      <c r="QS335" s="0"/>
      <c r="QT335" s="0"/>
      <c r="QU335" s="0"/>
      <c r="QV335" s="0"/>
      <c r="QW335" s="0"/>
      <c r="QX335" s="0"/>
      <c r="QY335" s="0"/>
      <c r="QZ335" s="0"/>
      <c r="RA335" s="0"/>
      <c r="RB335" s="0"/>
      <c r="RC335" s="0"/>
      <c r="RD335" s="0"/>
      <c r="RE335" s="0"/>
      <c r="RF335" s="0"/>
      <c r="RG335" s="0"/>
      <c r="RH335" s="0"/>
      <c r="RI335" s="0"/>
      <c r="RJ335" s="0"/>
      <c r="RK335" s="0"/>
      <c r="RL335" s="0"/>
      <c r="RM335" s="0"/>
      <c r="RN335" s="0"/>
      <c r="RO335" s="0"/>
      <c r="RP335" s="0"/>
      <c r="RQ335" s="0"/>
      <c r="RR335" s="0"/>
      <c r="RS335" s="0"/>
      <c r="RT335" s="0"/>
      <c r="RU335" s="0"/>
      <c r="RV335" s="0"/>
      <c r="RW335" s="0"/>
      <c r="RX335" s="0"/>
      <c r="RY335" s="0"/>
      <c r="RZ335" s="0"/>
      <c r="SA335" s="0"/>
      <c r="SB335" s="0"/>
      <c r="SC335" s="0"/>
      <c r="SD335" s="0"/>
      <c r="SE335" s="0"/>
      <c r="SF335" s="0"/>
      <c r="SG335" s="0"/>
      <c r="SH335" s="0"/>
      <c r="SI335" s="0"/>
      <c r="SJ335" s="0"/>
      <c r="SK335" s="0"/>
      <c r="SL335" s="0"/>
      <c r="SM335" s="0"/>
      <c r="SN335" s="0"/>
      <c r="SO335" s="0"/>
      <c r="SP335" s="0"/>
      <c r="SQ335" s="0"/>
      <c r="SR335" s="0"/>
      <c r="SS335" s="0"/>
      <c r="ST335" s="0"/>
      <c r="SU335" s="0"/>
      <c r="SV335" s="0"/>
      <c r="SW335" s="0"/>
      <c r="SX335" s="0"/>
      <c r="SY335" s="0"/>
      <c r="SZ335" s="0"/>
      <c r="TA335" s="0"/>
      <c r="TB335" s="0"/>
      <c r="TC335" s="0"/>
      <c r="TD335" s="0"/>
      <c r="TE335" s="0"/>
      <c r="TF335" s="0"/>
      <c r="TG335" s="0"/>
      <c r="TH335" s="0"/>
      <c r="TI335" s="0"/>
      <c r="TJ335" s="0"/>
      <c r="TK335" s="0"/>
      <c r="TL335" s="0"/>
      <c r="TM335" s="0"/>
      <c r="TN335" s="0"/>
      <c r="TO335" s="0"/>
      <c r="TP335" s="0"/>
      <c r="TQ335" s="0"/>
      <c r="TR335" s="0"/>
      <c r="TS335" s="0"/>
      <c r="TT335" s="0"/>
      <c r="TU335" s="0"/>
      <c r="TV335" s="0"/>
      <c r="TW335" s="0"/>
      <c r="TX335" s="0"/>
      <c r="TY335" s="0"/>
      <c r="TZ335" s="0"/>
      <c r="UA335" s="0"/>
      <c r="UB335" s="0"/>
      <c r="UC335" s="0"/>
      <c r="UD335" s="0"/>
      <c r="UE335" s="0"/>
      <c r="UF335" s="0"/>
      <c r="UG335" s="0"/>
      <c r="UH335" s="0"/>
      <c r="UI335" s="0"/>
      <c r="UJ335" s="0"/>
      <c r="UK335" s="0"/>
      <c r="UL335" s="0"/>
      <c r="UM335" s="0"/>
      <c r="UN335" s="0"/>
      <c r="UO335" s="0"/>
      <c r="UP335" s="0"/>
      <c r="UQ335" s="0"/>
      <c r="UR335" s="0"/>
      <c r="US335" s="0"/>
      <c r="UT335" s="0"/>
      <c r="UU335" s="0"/>
      <c r="UV335" s="0"/>
      <c r="UW335" s="0"/>
      <c r="UX335" s="0"/>
      <c r="UY335" s="0"/>
      <c r="UZ335" s="0"/>
      <c r="VA335" s="0"/>
      <c r="VB335" s="0"/>
      <c r="VC335" s="0"/>
      <c r="VD335" s="0"/>
      <c r="VE335" s="0"/>
      <c r="VF335" s="0"/>
      <c r="VG335" s="0"/>
      <c r="VH335" s="0"/>
      <c r="VI335" s="0"/>
      <c r="VJ335" s="0"/>
      <c r="VK335" s="0"/>
      <c r="VL335" s="0"/>
      <c r="VM335" s="0"/>
      <c r="VN335" s="0"/>
      <c r="VO335" s="0"/>
      <c r="VP335" s="0"/>
      <c r="VQ335" s="0"/>
      <c r="VR335" s="0"/>
      <c r="VS335" s="0"/>
      <c r="VT335" s="0"/>
      <c r="VU335" s="0"/>
      <c r="VV335" s="0"/>
      <c r="VW335" s="0"/>
      <c r="VX335" s="0"/>
      <c r="VY335" s="0"/>
      <c r="VZ335" s="0"/>
      <c r="WA335" s="0"/>
      <c r="WB335" s="0"/>
      <c r="WC335" s="0"/>
      <c r="WD335" s="0"/>
      <c r="WE335" s="0"/>
      <c r="WF335" s="0"/>
      <c r="WG335" s="0"/>
      <c r="WH335" s="0"/>
      <c r="WI335" s="0"/>
      <c r="WJ335" s="0"/>
      <c r="WK335" s="0"/>
      <c r="WL335" s="0"/>
      <c r="WM335" s="0"/>
      <c r="WN335" s="0"/>
      <c r="WO335" s="0"/>
      <c r="WP335" s="0"/>
      <c r="WQ335" s="0"/>
      <c r="WR335" s="0"/>
      <c r="WS335" s="0"/>
      <c r="WT335" s="0"/>
      <c r="WU335" s="0"/>
      <c r="WV335" s="0"/>
      <c r="WW335" s="0"/>
      <c r="WX335" s="0"/>
      <c r="WY335" s="0"/>
      <c r="WZ335" s="0"/>
      <c r="XA335" s="0"/>
      <c r="XB335" s="0"/>
      <c r="XC335" s="0"/>
      <c r="XD335" s="0"/>
      <c r="XE335" s="0"/>
      <c r="XF335" s="0"/>
      <c r="XG335" s="0"/>
      <c r="XH335" s="0"/>
      <c r="XI335" s="0"/>
      <c r="XJ335" s="0"/>
      <c r="XK335" s="0"/>
      <c r="XL335" s="0"/>
      <c r="XM335" s="0"/>
      <c r="XN335" s="0"/>
      <c r="XO335" s="0"/>
      <c r="XP335" s="0"/>
      <c r="XQ335" s="0"/>
      <c r="XR335" s="0"/>
      <c r="XS335" s="0"/>
      <c r="XT335" s="0"/>
      <c r="XU335" s="0"/>
      <c r="XV335" s="0"/>
      <c r="XW335" s="0"/>
      <c r="XX335" s="0"/>
      <c r="XY335" s="0"/>
      <c r="XZ335" s="0"/>
      <c r="YA335" s="0"/>
      <c r="YB335" s="0"/>
      <c r="YC335" s="0"/>
      <c r="YD335" s="0"/>
      <c r="YE335" s="0"/>
      <c r="YF335" s="0"/>
      <c r="YG335" s="0"/>
      <c r="YH335" s="0"/>
      <c r="YI335" s="0"/>
      <c r="YJ335" s="0"/>
      <c r="YK335" s="0"/>
      <c r="YL335" s="0"/>
      <c r="YM335" s="0"/>
      <c r="YN335" s="0"/>
      <c r="YO335" s="0"/>
      <c r="YP335" s="0"/>
      <c r="YQ335" s="0"/>
      <c r="YR335" s="0"/>
      <c r="YS335" s="0"/>
      <c r="YT335" s="0"/>
      <c r="YU335" s="0"/>
      <c r="YV335" s="0"/>
      <c r="YW335" s="0"/>
      <c r="YX335" s="0"/>
      <c r="YY335" s="0"/>
      <c r="YZ335" s="0"/>
      <c r="ZA335" s="0"/>
      <c r="ZB335" s="0"/>
      <c r="ZC335" s="0"/>
      <c r="ZD335" s="0"/>
      <c r="ZE335" s="0"/>
      <c r="ZF335" s="0"/>
      <c r="ZG335" s="0"/>
      <c r="ZH335" s="0"/>
      <c r="ZI335" s="0"/>
      <c r="ZJ335" s="0"/>
      <c r="ZK335" s="0"/>
      <c r="ZL335" s="0"/>
      <c r="ZM335" s="0"/>
      <c r="ZN335" s="0"/>
      <c r="ZO335" s="0"/>
      <c r="ZP335" s="0"/>
      <c r="ZQ335" s="0"/>
      <c r="ZR335" s="0"/>
      <c r="ZS335" s="0"/>
      <c r="ZT335" s="0"/>
      <c r="ZU335" s="0"/>
      <c r="ZV335" s="0"/>
      <c r="ZW335" s="0"/>
      <c r="ZX335" s="0"/>
      <c r="ZY335" s="0"/>
      <c r="ZZ335" s="0"/>
      <c r="AAA335" s="0"/>
      <c r="AAB335" s="0"/>
      <c r="AAC335" s="0"/>
      <c r="AAD335" s="0"/>
      <c r="AAE335" s="0"/>
      <c r="AAF335" s="0"/>
      <c r="AAG335" s="0"/>
      <c r="AAH335" s="0"/>
      <c r="AAI335" s="0"/>
      <c r="AAJ335" s="0"/>
      <c r="AAK335" s="0"/>
      <c r="AAL335" s="0"/>
      <c r="AAM335" s="0"/>
      <c r="AAN335" s="0"/>
      <c r="AAO335" s="0"/>
      <c r="AAP335" s="0"/>
      <c r="AAQ335" s="0"/>
      <c r="AAR335" s="0"/>
      <c r="AAS335" s="0"/>
      <c r="AAT335" s="0"/>
      <c r="AAU335" s="0"/>
      <c r="AAV335" s="0"/>
      <c r="AAW335" s="0"/>
      <c r="AAX335" s="0"/>
      <c r="AAY335" s="0"/>
      <c r="AAZ335" s="0"/>
      <c r="ABA335" s="0"/>
      <c r="ABB335" s="0"/>
      <c r="ABC335" s="0"/>
      <c r="ABD335" s="0"/>
      <c r="ABE335" s="0"/>
      <c r="ABF335" s="0"/>
      <c r="ABG335" s="0"/>
      <c r="ABH335" s="0"/>
      <c r="ABI335" s="0"/>
      <c r="ABJ335" s="0"/>
      <c r="ABK335" s="0"/>
      <c r="ABL335" s="0"/>
      <c r="ABM335" s="0"/>
      <c r="ABN335" s="0"/>
      <c r="ABO335" s="0"/>
      <c r="ABP335" s="0"/>
      <c r="ABQ335" s="0"/>
      <c r="ABR335" s="0"/>
      <c r="ABS335" s="0"/>
      <c r="ABT335" s="0"/>
      <c r="ABU335" s="0"/>
      <c r="ABV335" s="0"/>
      <c r="ABW335" s="0"/>
      <c r="ABX335" s="0"/>
      <c r="ABY335" s="0"/>
      <c r="ABZ335" s="0"/>
      <c r="ACA335" s="0"/>
      <c r="ACB335" s="0"/>
      <c r="ACC335" s="0"/>
      <c r="ACD335" s="0"/>
      <c r="ACE335" s="0"/>
      <c r="ACF335" s="0"/>
      <c r="ACG335" s="0"/>
      <c r="ACH335" s="0"/>
      <c r="ACI335" s="0"/>
      <c r="ACJ335" s="0"/>
      <c r="ACK335" s="0"/>
      <c r="ACL335" s="0"/>
      <c r="ACM335" s="0"/>
      <c r="ACN335" s="0"/>
      <c r="ACO335" s="0"/>
      <c r="ACP335" s="0"/>
      <c r="ACQ335" s="0"/>
      <c r="ACR335" s="0"/>
      <c r="ACS335" s="0"/>
      <c r="ACT335" s="0"/>
      <c r="ACU335" s="0"/>
      <c r="ACV335" s="0"/>
      <c r="ACW335" s="0"/>
      <c r="ACX335" s="0"/>
      <c r="ACY335" s="0"/>
      <c r="ACZ335" s="0"/>
      <c r="ADA335" s="0"/>
      <c r="ADB335" s="0"/>
      <c r="ADC335" s="0"/>
      <c r="ADD335" s="0"/>
      <c r="ADE335" s="0"/>
      <c r="ADF335" s="0"/>
      <c r="ADG335" s="0"/>
      <c r="ADH335" s="0"/>
      <c r="ADI335" s="0"/>
      <c r="ADJ335" s="0"/>
      <c r="ADK335" s="0"/>
      <c r="ADL335" s="0"/>
      <c r="ADM335" s="0"/>
      <c r="ADN335" s="0"/>
      <c r="ADO335" s="0"/>
      <c r="ADP335" s="0"/>
      <c r="ADQ335" s="0"/>
      <c r="ADR335" s="0"/>
      <c r="ADS335" s="0"/>
      <c r="ADT335" s="0"/>
      <c r="ADU335" s="0"/>
      <c r="ADV335" s="0"/>
      <c r="ADW335" s="0"/>
      <c r="ADX335" s="0"/>
      <c r="ADY335" s="0"/>
      <c r="ADZ335" s="0"/>
      <c r="AEA335" s="0"/>
      <c r="AEB335" s="0"/>
      <c r="AEC335" s="0"/>
      <c r="AED335" s="0"/>
      <c r="AEE335" s="0"/>
      <c r="AEF335" s="0"/>
      <c r="AEG335" s="0"/>
      <c r="AEH335" s="0"/>
      <c r="AEI335" s="0"/>
      <c r="AEJ335" s="0"/>
      <c r="AEK335" s="0"/>
      <c r="AEL335" s="0"/>
      <c r="AEM335" s="0"/>
      <c r="AEN335" s="0"/>
      <c r="AEO335" s="0"/>
      <c r="AEP335" s="0"/>
      <c r="AEQ335" s="0"/>
      <c r="AER335" s="0"/>
      <c r="AES335" s="0"/>
      <c r="AET335" s="0"/>
      <c r="AEU335" s="0"/>
      <c r="AEV335" s="0"/>
      <c r="AEW335" s="0"/>
      <c r="AEX335" s="0"/>
      <c r="AEY335" s="0"/>
      <c r="AEZ335" s="0"/>
      <c r="AFA335" s="0"/>
      <c r="AFB335" s="0"/>
      <c r="AFC335" s="0"/>
      <c r="AFD335" s="0"/>
      <c r="AFE335" s="0"/>
      <c r="AFF335" s="0"/>
      <c r="AFG335" s="0"/>
      <c r="AFH335" s="0"/>
      <c r="AFI335" s="0"/>
      <c r="AFJ335" s="0"/>
      <c r="AFK335" s="0"/>
      <c r="AFL335" s="0"/>
      <c r="AFM335" s="0"/>
      <c r="AFN335" s="0"/>
      <c r="AFO335" s="0"/>
      <c r="AFP335" s="0"/>
      <c r="AFQ335" s="0"/>
      <c r="AFR335" s="0"/>
      <c r="AFS335" s="0"/>
      <c r="AFT335" s="0"/>
      <c r="AFU335" s="0"/>
      <c r="AFV335" s="0"/>
      <c r="AFW335" s="0"/>
      <c r="AFX335" s="0"/>
      <c r="AFY335" s="0"/>
      <c r="AFZ335" s="0"/>
      <c r="AGA335" s="0"/>
      <c r="AGB335" s="0"/>
      <c r="AGC335" s="0"/>
      <c r="AGD335" s="0"/>
      <c r="AGE335" s="0"/>
      <c r="AGF335" s="0"/>
      <c r="AGG335" s="0"/>
      <c r="AGH335" s="0"/>
      <c r="AGI335" s="0"/>
      <c r="AGJ335" s="0"/>
      <c r="AGK335" s="0"/>
      <c r="AGL335" s="0"/>
      <c r="AGM335" s="0"/>
      <c r="AGN335" s="0"/>
      <c r="AGO335" s="0"/>
      <c r="AGP335" s="0"/>
      <c r="AGQ335" s="0"/>
      <c r="AGR335" s="0"/>
      <c r="AGS335" s="0"/>
      <c r="AGT335" s="0"/>
      <c r="AGU335" s="0"/>
      <c r="AGV335" s="0"/>
      <c r="AGW335" s="0"/>
      <c r="AGX335" s="0"/>
      <c r="AGY335" s="0"/>
      <c r="AGZ335" s="0"/>
      <c r="AHA335" s="0"/>
      <c r="AHB335" s="0"/>
      <c r="AHC335" s="0"/>
      <c r="AHD335" s="0"/>
      <c r="AHE335" s="0"/>
      <c r="AHF335" s="0"/>
      <c r="AHG335" s="0"/>
      <c r="AHH335" s="0"/>
      <c r="AHI335" s="0"/>
      <c r="AHJ335" s="0"/>
      <c r="AHK335" s="0"/>
      <c r="AHL335" s="0"/>
      <c r="AHM335" s="0"/>
      <c r="AHN335" s="0"/>
      <c r="AHO335" s="0"/>
      <c r="AHP335" s="0"/>
      <c r="AHQ335" s="0"/>
      <c r="AHR335" s="0"/>
      <c r="AHS335" s="0"/>
      <c r="AHT335" s="0"/>
      <c r="AHU335" s="0"/>
      <c r="AHV335" s="0"/>
      <c r="AHW335" s="0"/>
      <c r="AHX335" s="0"/>
      <c r="AHY335" s="0"/>
      <c r="AHZ335" s="0"/>
      <c r="AIA335" s="0"/>
      <c r="AIB335" s="0"/>
      <c r="AIC335" s="0"/>
      <c r="AID335" s="0"/>
      <c r="AIE335" s="0"/>
      <c r="AIF335" s="0"/>
      <c r="AIG335" s="0"/>
      <c r="AIH335" s="0"/>
      <c r="AII335" s="0"/>
      <c r="AIJ335" s="0"/>
      <c r="AIK335" s="0"/>
      <c r="AIL335" s="0"/>
      <c r="AIM335" s="0"/>
      <c r="AIN335" s="0"/>
      <c r="AIO335" s="0"/>
      <c r="AIP335" s="0"/>
      <c r="AIQ335" s="0"/>
      <c r="AIR335" s="0"/>
      <c r="AIS335" s="0"/>
      <c r="AIT335" s="0"/>
      <c r="AIU335" s="0"/>
      <c r="AIV335" s="0"/>
      <c r="AIW335" s="0"/>
      <c r="AIX335" s="0"/>
      <c r="AIY335" s="0"/>
      <c r="AIZ335" s="0"/>
      <c r="AJA335" s="0"/>
      <c r="AJB335" s="0"/>
      <c r="AJC335" s="0"/>
      <c r="AJD335" s="0"/>
      <c r="AJE335" s="0"/>
      <c r="AJF335" s="0"/>
      <c r="AJG335" s="0"/>
      <c r="AJH335" s="0"/>
      <c r="AJI335" s="0"/>
      <c r="AJJ335" s="0"/>
      <c r="AJK335" s="0"/>
      <c r="AJL335" s="0"/>
      <c r="AJM335" s="0"/>
      <c r="AJN335" s="0"/>
      <c r="AJO335" s="0"/>
      <c r="AJP335" s="0"/>
      <c r="AJQ335" s="0"/>
      <c r="AJR335" s="0"/>
      <c r="AJS335" s="0"/>
      <c r="AJT335" s="0"/>
      <c r="AJU335" s="0"/>
      <c r="AJV335" s="0"/>
      <c r="AJW335" s="0"/>
      <c r="AJX335" s="0"/>
      <c r="AJY335" s="0"/>
      <c r="AJZ335" s="0"/>
      <c r="AKA335" s="0"/>
      <c r="AKB335" s="0"/>
      <c r="AKC335" s="0"/>
      <c r="AKD335" s="0"/>
      <c r="AKE335" s="0"/>
      <c r="AKF335" s="0"/>
      <c r="AKG335" s="0"/>
      <c r="AKH335" s="0"/>
      <c r="AKI335" s="0"/>
      <c r="AKJ335" s="0"/>
      <c r="AKK335" s="0"/>
      <c r="AKL335" s="0"/>
      <c r="AKM335" s="0"/>
      <c r="AKN335" s="0"/>
      <c r="AKO335" s="0"/>
      <c r="AKP335" s="0"/>
      <c r="AKQ335" s="0"/>
      <c r="AKR335" s="0"/>
      <c r="AKS335" s="0"/>
      <c r="AKT335" s="0"/>
      <c r="AKU335" s="0"/>
      <c r="AKV335" s="0"/>
      <c r="AKW335" s="0"/>
      <c r="AKX335" s="0"/>
      <c r="AKY335" s="0"/>
      <c r="AKZ335" s="0"/>
      <c r="ALA335" s="0"/>
      <c r="ALB335" s="0"/>
      <c r="ALC335" s="0"/>
      <c r="ALD335" s="0"/>
      <c r="ALE335" s="0"/>
      <c r="ALF335" s="0"/>
      <c r="ALG335" s="0"/>
      <c r="ALH335" s="0"/>
      <c r="ALI335" s="0"/>
      <c r="ALJ335" s="0"/>
      <c r="ALK335" s="0"/>
      <c r="ALL335" s="0"/>
      <c r="ALM335" s="0"/>
      <c r="ALN335" s="0"/>
      <c r="ALO335" s="0"/>
      <c r="ALP335" s="0"/>
      <c r="ALQ335" s="0"/>
      <c r="ALR335" s="0"/>
      <c r="ALS335" s="0"/>
      <c r="ALT335" s="0"/>
      <c r="ALU335" s="0"/>
      <c r="ALV335" s="0"/>
      <c r="ALW335" s="0"/>
      <c r="ALX335" s="0"/>
      <c r="ALY335" s="0"/>
      <c r="ALZ335" s="0"/>
      <c r="AMA335" s="0"/>
      <c r="AMB335" s="0"/>
      <c r="AMC335" s="0"/>
      <c r="AMD335" s="0"/>
      <c r="AME335" s="0"/>
      <c r="AMF335" s="0"/>
      <c r="AMG335" s="0"/>
      <c r="AMH335" s="0"/>
    </row>
    <row r="336" customFormat="false" ht="18.7" hidden="false" customHeight="true" outlineLevel="0" collapsed="false">
      <c r="A336" s="1" t="n">
        <v>357</v>
      </c>
      <c r="B336" s="7" t="str">
        <f aca="false">HYPERLINK("https://mncourtfraud.com/file/GMF-1.zip","GMF-1.zip")</f>
        <v>GMF-1.zip</v>
      </c>
      <c r="C336" s="8" t="str">
        <f aca="false">HYPERLINK("https://mncourtfraud.com/file/27-CR-21-3797.pdf","27-CR-21-3797")</f>
        <v>27-CR-21-3797</v>
      </c>
      <c r="D336" s="3" t="s">
        <v>1366</v>
      </c>
      <c r="E336" s="9" t="n">
        <v>45258</v>
      </c>
      <c r="F336" s="8" t="str">
        <f aca="false">HYPERLINK("https://mncourtfraud.com/file/MCRO_27-CR-21-3797_Order-Evaluation for Competency to Proceed (Rule 20.01)_2023-11-28_20240430080102.pdf","MCRO_27-CR-21-3797_Order-Evaluation for Competency to Proceed (Rule 20.01)_2023-11-28_20240430080102.pdf")</f>
        <v>MCRO_27-CR-21-3797_Order-Evaluation for Competency to Proceed (Rule 20.01)_2023-11-28_20240430080102.pdf</v>
      </c>
      <c r="G336" s="8" t="str">
        <f aca="false">HYPERLINK("https://mncourtfraud.com/file/f551fbdbe33ef67946ae900da088950e7836c09a0b156cbfe483f64d4eadb8f8.png","f551fbdbe33ef67946ae900da088950e7836c09a0b156cbfe483f64d4eadb8f8")</f>
        <v>f551fbdbe33ef67946ae900da088950e7836c09a0b156cbfe483f64d4eadb8f8</v>
      </c>
      <c r="H336" s="1" t="s">
        <v>1460</v>
      </c>
      <c r="I336" s="3" t="s">
        <v>1569</v>
      </c>
      <c r="J336" s="1" t="s">
        <v>1482</v>
      </c>
      <c r="K336" s="3" t="n">
        <v>4500</v>
      </c>
      <c r="L336" s="15" t="s">
        <v>1487</v>
      </c>
      <c r="M336" s="1" t="s">
        <v>1484</v>
      </c>
      <c r="N336" s="9" t="n">
        <v>45258</v>
      </c>
      <c r="O336" s="10" t="s">
        <v>1570</v>
      </c>
      <c r="P336" s="1" t="n">
        <v>2180</v>
      </c>
      <c r="Q336" s="1" t="n">
        <v>170</v>
      </c>
    </row>
    <row r="337" customFormat="false" ht="18.7" hidden="false" customHeight="true" outlineLevel="0" collapsed="false">
      <c r="A337" s="1" t="n">
        <v>358</v>
      </c>
      <c r="B337" s="7" t="str">
        <f aca="false">HYPERLINK("https://mncourtfraud.com/file/GMF-1.zip","GMF-1.zip")</f>
        <v>GMF-1.zip</v>
      </c>
      <c r="C337" s="8" t="str">
        <f aca="false">HYPERLINK("https://mncourtfraud.com/file/27-CR-21-9235.pdf","27-CR-21-9235")</f>
        <v>27-CR-21-9235</v>
      </c>
      <c r="D337" s="3" t="s">
        <v>1366</v>
      </c>
      <c r="E337" s="9" t="n">
        <v>45258</v>
      </c>
      <c r="F337" s="8" t="str">
        <f aca="false">HYPERLINK("https://mncourtfraud.com/file/MCRO_27-CR-21-9235_Order-Evaluation for Competency to Proceed (Rule 20.01)_2023-11-28_20240430082108.pdf","MCRO_27-CR-21-9235_Order-Evaluation for Competency to Proceed (Rule 20.01)_2023-11-28_20240430082108.pdf")</f>
        <v>MCRO_27-CR-21-9235_Order-Evaluation for Competency to Proceed (Rule 20.01)_2023-11-28_20240430082108.pdf</v>
      </c>
      <c r="G337" s="8" t="str">
        <f aca="false">HYPERLINK("https://mncourtfraud.com/file/f551fbdbe33ef67946ae900da088950e7836c09a0b156cbfe483f64d4eadb8f8.png","f551fbdbe33ef67946ae900da088950e7836c09a0b156cbfe483f64d4eadb8f8")</f>
        <v>f551fbdbe33ef67946ae900da088950e7836c09a0b156cbfe483f64d4eadb8f8</v>
      </c>
      <c r="H337" s="1" t="s">
        <v>1460</v>
      </c>
      <c r="I337" s="3" t="s">
        <v>1569</v>
      </c>
      <c r="J337" s="1" t="s">
        <v>1482</v>
      </c>
      <c r="K337" s="3" t="n">
        <v>4500</v>
      </c>
      <c r="L337" s="15" t="s">
        <v>1487</v>
      </c>
      <c r="M337" s="1" t="s">
        <v>1484</v>
      </c>
      <c r="N337" s="9" t="n">
        <v>45258</v>
      </c>
      <c r="O337" s="10" t="s">
        <v>1570</v>
      </c>
      <c r="P337" s="1" t="n">
        <v>2180</v>
      </c>
      <c r="Q337" s="1" t="n">
        <v>170</v>
      </c>
    </row>
    <row r="338" customFormat="false" ht="18.7" hidden="false" customHeight="true" outlineLevel="0" collapsed="false">
      <c r="A338" s="1" t="n">
        <v>359</v>
      </c>
      <c r="B338" s="7" t="str">
        <f aca="false">HYPERLINK("https://mncourtfraud.com/file/GMF-1.zip","GMF-1.zip")</f>
        <v>GMF-1.zip</v>
      </c>
      <c r="C338" s="8" t="str">
        <f aca="false">HYPERLINK("https://mncourtfraud.com/file/27-CR-23-2152.pdf","27-CR-23-2152")</f>
        <v>27-CR-23-2152</v>
      </c>
      <c r="D338" s="3" t="s">
        <v>1366</v>
      </c>
      <c r="E338" s="9" t="n">
        <v>45258</v>
      </c>
      <c r="F338" s="8" t="str">
        <f aca="false">HYPERLINK("https://mncourtfraud.com/file/MCRO_27-CR-23-2152_Order-Evaluation for Competency to Proceed (Rule 20.01)_2023-11-28_20240430072540.pdf","MCRO_27-CR-23-2152_Order-Evaluation for Competency to Proceed (Rule 20.01)_2023-11-28_20240430072540.pdf")</f>
        <v>MCRO_27-CR-23-2152_Order-Evaluation for Competency to Proceed (Rule 20.01)_2023-11-28_20240430072540.pdf</v>
      </c>
      <c r="G338" s="8" t="str">
        <f aca="false">HYPERLINK("https://mncourtfraud.com/file/f551fbdbe33ef67946ae900da088950e7836c09a0b156cbfe483f64d4eadb8f8.png","f551fbdbe33ef67946ae900da088950e7836c09a0b156cbfe483f64d4eadb8f8")</f>
        <v>f551fbdbe33ef67946ae900da088950e7836c09a0b156cbfe483f64d4eadb8f8</v>
      </c>
      <c r="H338" s="1" t="s">
        <v>1460</v>
      </c>
      <c r="I338" s="3" t="s">
        <v>1569</v>
      </c>
      <c r="J338" s="1" t="s">
        <v>1482</v>
      </c>
      <c r="K338" s="3" t="n">
        <v>4500</v>
      </c>
      <c r="L338" s="15" t="s">
        <v>1487</v>
      </c>
      <c r="M338" s="1" t="s">
        <v>1484</v>
      </c>
      <c r="N338" s="9" t="n">
        <v>45258</v>
      </c>
      <c r="O338" s="10" t="s">
        <v>1570</v>
      </c>
      <c r="P338" s="1" t="n">
        <v>2180</v>
      </c>
      <c r="Q338" s="1" t="n">
        <v>170</v>
      </c>
    </row>
    <row r="339" customFormat="false" ht="18.7" hidden="false" customHeight="true" outlineLevel="0" collapsed="false">
      <c r="A339" s="1" t="n">
        <v>360</v>
      </c>
      <c r="B339" s="7" t="str">
        <f aca="false">HYPERLINK("https://mncourtfraud.com/file/GMF-1.zip","GMF-1.zip")</f>
        <v>GMF-1.zip</v>
      </c>
      <c r="C339" s="8" t="str">
        <f aca="false">HYPERLINK("https://mncourtfraud.com/file/27-CR-21-3797.pdf","27-CR-21-3797")</f>
        <v>27-CR-21-3797</v>
      </c>
      <c r="D339" s="3" t="s">
        <v>1366</v>
      </c>
      <c r="E339" s="9" t="n">
        <v>45258</v>
      </c>
      <c r="F339" s="8" t="str">
        <f aca="false">HYPERLINK("https://mncourtfraud.com/file/MCRO_27-CR-21-3797_Order-Evaluation for Competency to Proceed (Rule 20.01)_2023-11-28_20240430080102.pdf","MCRO_27-CR-21-3797_Order-Evaluation for Competency to Proceed (Rule 20.01)_2023-11-28_20240430080102.pdf")</f>
        <v>MCRO_27-CR-21-3797_Order-Evaluation for Competency to Proceed (Rule 20.01)_2023-11-28_20240430080102.pdf</v>
      </c>
      <c r="G339" s="8" t="str">
        <f aca="false">HYPERLINK("https://mncourtfraud.com/file/f551fbdbe33ef67946ae900da088950e7836c09a0b156cbfe483f64d4eadb8f8.png","f551fbdbe33ef67946ae900da088950e7836c09a0b156cbfe483f64d4eadb8f8")</f>
        <v>f551fbdbe33ef67946ae900da088950e7836c09a0b156cbfe483f64d4eadb8f8</v>
      </c>
      <c r="H339" s="1" t="s">
        <v>1460</v>
      </c>
      <c r="I339" s="3" t="s">
        <v>1569</v>
      </c>
      <c r="J339" s="1" t="s">
        <v>1482</v>
      </c>
      <c r="K339" s="3" t="n">
        <v>4500</v>
      </c>
      <c r="L339" s="15" t="s">
        <v>1487</v>
      </c>
      <c r="M339" s="1" t="s">
        <v>1484</v>
      </c>
      <c r="N339" s="9" t="n">
        <v>45258</v>
      </c>
      <c r="O339" s="10" t="s">
        <v>1570</v>
      </c>
      <c r="P339" s="1" t="n">
        <v>2180</v>
      </c>
      <c r="Q339" s="1" t="n">
        <v>170</v>
      </c>
    </row>
    <row r="340" customFormat="false" ht="18.7" hidden="false" customHeight="true" outlineLevel="0" collapsed="false">
      <c r="A340" s="1" t="n">
        <v>361</v>
      </c>
      <c r="B340" s="7" t="str">
        <f aca="false">HYPERLINK("https://mncourtfraud.com/file/GMF-1.zip","GMF-1.zip")</f>
        <v>GMF-1.zip</v>
      </c>
      <c r="C340" s="8" t="str">
        <f aca="false">HYPERLINK("https://mncourtfraud.com/file/27-CR-21-9235.pdf","27-CR-21-9235")</f>
        <v>27-CR-21-9235</v>
      </c>
      <c r="D340" s="3" t="s">
        <v>1366</v>
      </c>
      <c r="E340" s="9" t="n">
        <v>45258</v>
      </c>
      <c r="F340" s="8" t="str">
        <f aca="false">HYPERLINK("https://mncourtfraud.com/file/MCRO_27-CR-21-9235_Order-Evaluation for Competency to Proceed (Rule 20.01)_2023-11-28_20240430082108.pdf","MCRO_27-CR-21-9235_Order-Evaluation for Competency to Proceed (Rule 20.01)_2023-11-28_20240430082108.pdf")</f>
        <v>MCRO_27-CR-21-9235_Order-Evaluation for Competency to Proceed (Rule 20.01)_2023-11-28_20240430082108.pdf</v>
      </c>
      <c r="G340" s="8" t="str">
        <f aca="false">HYPERLINK("https://mncourtfraud.com/file/f551fbdbe33ef67946ae900da088950e7836c09a0b156cbfe483f64d4eadb8f8.png","f551fbdbe33ef67946ae900da088950e7836c09a0b156cbfe483f64d4eadb8f8")</f>
        <v>f551fbdbe33ef67946ae900da088950e7836c09a0b156cbfe483f64d4eadb8f8</v>
      </c>
      <c r="H340" s="1" t="s">
        <v>1460</v>
      </c>
      <c r="I340" s="3" t="s">
        <v>1569</v>
      </c>
      <c r="J340" s="1" t="s">
        <v>1482</v>
      </c>
      <c r="K340" s="3" t="n">
        <v>4500</v>
      </c>
      <c r="L340" s="15" t="s">
        <v>1487</v>
      </c>
      <c r="M340" s="1" t="s">
        <v>1484</v>
      </c>
      <c r="N340" s="9" t="n">
        <v>45258</v>
      </c>
      <c r="O340" s="10" t="s">
        <v>1570</v>
      </c>
      <c r="P340" s="1" t="n">
        <v>2180</v>
      </c>
      <c r="Q340" s="1" t="n">
        <v>170</v>
      </c>
    </row>
    <row r="341" customFormat="false" ht="18.7" hidden="false" customHeight="true" outlineLevel="0" collapsed="false">
      <c r="A341" s="1" t="n">
        <v>362</v>
      </c>
      <c r="B341" s="7" t="str">
        <f aca="false">HYPERLINK("https://mncourtfraud.com/file/GMF-1.zip","GMF-1.zip")</f>
        <v>GMF-1.zip</v>
      </c>
      <c r="C341" s="8" t="str">
        <f aca="false">HYPERLINK("https://mncourtfraud.com/file/27-CR-23-2152.pdf","27-CR-23-2152")</f>
        <v>27-CR-23-2152</v>
      </c>
      <c r="D341" s="3" t="s">
        <v>1366</v>
      </c>
      <c r="E341" s="9" t="n">
        <v>45258</v>
      </c>
      <c r="F341" s="8" t="str">
        <f aca="false">HYPERLINK("https://mncourtfraud.com/file/MCRO_27-CR-23-2152_Order-Evaluation for Competency to Proceed (Rule 20.01)_2023-11-28_20240430072540.pdf","MCRO_27-CR-23-2152_Order-Evaluation for Competency to Proceed (Rule 20.01)_2023-11-28_20240430072540.pdf")</f>
        <v>MCRO_27-CR-23-2152_Order-Evaluation for Competency to Proceed (Rule 20.01)_2023-11-28_20240430072540.pdf</v>
      </c>
      <c r="G341" s="8" t="str">
        <f aca="false">HYPERLINK("https://mncourtfraud.com/file/f551fbdbe33ef67946ae900da088950e7836c09a0b156cbfe483f64d4eadb8f8.png","f551fbdbe33ef67946ae900da088950e7836c09a0b156cbfe483f64d4eadb8f8")</f>
        <v>f551fbdbe33ef67946ae900da088950e7836c09a0b156cbfe483f64d4eadb8f8</v>
      </c>
      <c r="H341" s="1" t="s">
        <v>1460</v>
      </c>
      <c r="I341" s="3" t="s">
        <v>1569</v>
      </c>
      <c r="J341" s="1" t="s">
        <v>1482</v>
      </c>
      <c r="K341" s="3" t="n">
        <v>4500</v>
      </c>
      <c r="L341" s="15" t="s">
        <v>1487</v>
      </c>
      <c r="M341" s="1" t="s">
        <v>1484</v>
      </c>
      <c r="N341" s="9" t="n">
        <v>45258</v>
      </c>
      <c r="O341" s="10" t="s">
        <v>1570</v>
      </c>
      <c r="P341" s="1" t="n">
        <v>2180</v>
      </c>
      <c r="Q341" s="1" t="n">
        <v>170</v>
      </c>
    </row>
    <row r="342" customFormat="false" ht="18.7" hidden="false" customHeight="true" outlineLevel="0" collapsed="false">
      <c r="A342" s="1" t="n">
        <v>363</v>
      </c>
      <c r="B342" s="0"/>
      <c r="C342" s="0"/>
      <c r="D342" s="0"/>
      <c r="E342" s="0"/>
      <c r="F342" s="0"/>
      <c r="G342" s="0"/>
      <c r="H342" s="0"/>
      <c r="I342" s="0"/>
      <c r="J342" s="0"/>
      <c r="K342" s="0"/>
      <c r="L342" s="0"/>
      <c r="M342" s="0"/>
      <c r="N342" s="0"/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AB342" s="0"/>
      <c r="AC342" s="0"/>
      <c r="AD342" s="0"/>
      <c r="AE342" s="0"/>
      <c r="AF342" s="0"/>
      <c r="AG342" s="0"/>
      <c r="AH342" s="0"/>
      <c r="AI342" s="0"/>
      <c r="AJ342" s="0"/>
      <c r="AK342" s="0"/>
      <c r="AL342" s="0"/>
      <c r="AM342" s="0"/>
      <c r="AN342" s="0"/>
      <c r="AO342" s="0"/>
      <c r="AP342" s="0"/>
      <c r="AQ342" s="0"/>
      <c r="AR342" s="0"/>
      <c r="AS342" s="0"/>
      <c r="AT342" s="0"/>
      <c r="AU342" s="0"/>
      <c r="AV342" s="0"/>
      <c r="AW342" s="0"/>
      <c r="AX342" s="0"/>
      <c r="AY342" s="0"/>
      <c r="AZ342" s="0"/>
      <c r="BA342" s="0"/>
      <c r="BB342" s="0"/>
      <c r="BC342" s="0"/>
      <c r="BD342" s="0"/>
      <c r="BE342" s="0"/>
      <c r="BF342" s="0"/>
      <c r="BG342" s="0"/>
      <c r="BH342" s="0"/>
      <c r="BI342" s="0"/>
      <c r="BJ342" s="0"/>
      <c r="BK342" s="0"/>
      <c r="BL342" s="0"/>
      <c r="BM342" s="0"/>
      <c r="BN342" s="0"/>
      <c r="BO342" s="0"/>
      <c r="BP342" s="0"/>
      <c r="BQ342" s="0"/>
      <c r="BR342" s="0"/>
      <c r="BS342" s="0"/>
      <c r="BT342" s="0"/>
      <c r="BU342" s="0"/>
      <c r="BV342" s="0"/>
      <c r="BW342" s="0"/>
      <c r="BX342" s="0"/>
      <c r="BY342" s="0"/>
      <c r="BZ342" s="0"/>
      <c r="CA342" s="0"/>
      <c r="CB342" s="0"/>
      <c r="CC342" s="0"/>
      <c r="CD342" s="0"/>
      <c r="CE342" s="0"/>
      <c r="CF342" s="0"/>
      <c r="CG342" s="0"/>
      <c r="CH342" s="0"/>
      <c r="CI342" s="0"/>
      <c r="CJ342" s="0"/>
      <c r="CK342" s="0"/>
      <c r="CL342" s="0"/>
      <c r="CM342" s="0"/>
      <c r="CN342" s="0"/>
      <c r="CO342" s="0"/>
      <c r="CP342" s="0"/>
      <c r="CQ342" s="0"/>
      <c r="CR342" s="0"/>
      <c r="CS342" s="0"/>
      <c r="CT342" s="0"/>
      <c r="CU342" s="0"/>
      <c r="CV342" s="0"/>
      <c r="CW342" s="0"/>
      <c r="CX342" s="0"/>
      <c r="CY342" s="0"/>
      <c r="CZ342" s="0"/>
      <c r="DA342" s="0"/>
      <c r="DB342" s="0"/>
      <c r="DC342" s="0"/>
      <c r="DD342" s="0"/>
      <c r="DE342" s="0"/>
      <c r="DF342" s="0"/>
      <c r="DG342" s="0"/>
      <c r="DH342" s="0"/>
      <c r="DI342" s="0"/>
      <c r="DJ342" s="0"/>
      <c r="DK342" s="0"/>
      <c r="DL342" s="0"/>
      <c r="DM342" s="0"/>
      <c r="DN342" s="0"/>
      <c r="DO342" s="0"/>
      <c r="DP342" s="0"/>
      <c r="DQ342" s="0"/>
      <c r="DR342" s="0"/>
      <c r="DS342" s="0"/>
      <c r="DT342" s="0"/>
      <c r="DU342" s="0"/>
      <c r="DV342" s="0"/>
      <c r="DW342" s="0"/>
      <c r="DX342" s="0"/>
      <c r="DY342" s="0"/>
      <c r="DZ342" s="0"/>
      <c r="EA342" s="0"/>
      <c r="EB342" s="0"/>
      <c r="EC342" s="0"/>
      <c r="ED342" s="0"/>
      <c r="EE342" s="0"/>
      <c r="EF342" s="0"/>
      <c r="EG342" s="0"/>
      <c r="EH342" s="0"/>
      <c r="EI342" s="0"/>
      <c r="EJ342" s="0"/>
      <c r="EK342" s="0"/>
      <c r="EL342" s="0"/>
      <c r="EM342" s="0"/>
      <c r="EN342" s="0"/>
      <c r="EO342" s="0"/>
      <c r="EP342" s="0"/>
      <c r="EQ342" s="0"/>
      <c r="ER342" s="0"/>
      <c r="ES342" s="0"/>
      <c r="ET342" s="0"/>
      <c r="EU342" s="0"/>
      <c r="EV342" s="0"/>
      <c r="EW342" s="0"/>
      <c r="EX342" s="0"/>
      <c r="EY342" s="0"/>
      <c r="EZ342" s="0"/>
      <c r="FA342" s="0"/>
      <c r="FB342" s="0"/>
      <c r="FC342" s="0"/>
      <c r="FD342" s="0"/>
      <c r="FE342" s="0"/>
      <c r="FF342" s="0"/>
      <c r="FG342" s="0"/>
      <c r="FH342" s="0"/>
      <c r="FI342" s="0"/>
      <c r="FJ342" s="0"/>
      <c r="FK342" s="0"/>
      <c r="FL342" s="0"/>
      <c r="FM342" s="0"/>
      <c r="FN342" s="0"/>
      <c r="FO342" s="0"/>
      <c r="FP342" s="0"/>
      <c r="FQ342" s="0"/>
      <c r="FR342" s="0"/>
      <c r="FS342" s="0"/>
      <c r="FT342" s="0"/>
      <c r="FU342" s="0"/>
      <c r="FV342" s="0"/>
      <c r="FW342" s="0"/>
      <c r="FX342" s="0"/>
      <c r="FY342" s="0"/>
      <c r="FZ342" s="0"/>
      <c r="GA342" s="0"/>
      <c r="GB342" s="0"/>
      <c r="GC342" s="0"/>
      <c r="GD342" s="0"/>
      <c r="GE342" s="0"/>
      <c r="GF342" s="0"/>
      <c r="GG342" s="0"/>
      <c r="GH342" s="0"/>
      <c r="GI342" s="0"/>
      <c r="GJ342" s="0"/>
      <c r="GK342" s="0"/>
      <c r="GL342" s="0"/>
      <c r="GM342" s="0"/>
      <c r="GN342" s="0"/>
      <c r="GO342" s="0"/>
      <c r="GP342" s="0"/>
      <c r="GQ342" s="0"/>
      <c r="GR342" s="0"/>
      <c r="GS342" s="0"/>
      <c r="GT342" s="0"/>
      <c r="GU342" s="0"/>
      <c r="GV342" s="0"/>
      <c r="GW342" s="0"/>
      <c r="GX342" s="0"/>
      <c r="GY342" s="0"/>
      <c r="GZ342" s="0"/>
      <c r="HA342" s="0"/>
      <c r="HB342" s="0"/>
      <c r="HC342" s="0"/>
      <c r="HD342" s="0"/>
      <c r="HE342" s="0"/>
      <c r="HF342" s="0"/>
      <c r="HG342" s="0"/>
      <c r="HH342" s="0"/>
      <c r="HI342" s="0"/>
      <c r="HJ342" s="0"/>
      <c r="HK342" s="0"/>
      <c r="HL342" s="0"/>
      <c r="HM342" s="0"/>
      <c r="HN342" s="0"/>
      <c r="HO342" s="0"/>
      <c r="HP342" s="0"/>
      <c r="HQ342" s="0"/>
      <c r="HR342" s="0"/>
      <c r="HS342" s="0"/>
      <c r="HT342" s="0"/>
      <c r="HU342" s="0"/>
      <c r="HV342" s="0"/>
      <c r="HW342" s="0"/>
      <c r="HX342" s="0"/>
      <c r="HY342" s="0"/>
      <c r="HZ342" s="0"/>
      <c r="IA342" s="0"/>
      <c r="IB342" s="0"/>
      <c r="IC342" s="0"/>
      <c r="ID342" s="0"/>
      <c r="IE342" s="0"/>
      <c r="IF342" s="0"/>
      <c r="IG342" s="0"/>
      <c r="IH342" s="0"/>
      <c r="II342" s="0"/>
      <c r="IJ342" s="0"/>
      <c r="IK342" s="0"/>
      <c r="IL342" s="0"/>
      <c r="IM342" s="0"/>
      <c r="IN342" s="0"/>
      <c r="IO342" s="0"/>
      <c r="IP342" s="0"/>
      <c r="IQ342" s="0"/>
      <c r="IR342" s="0"/>
      <c r="IS342" s="0"/>
      <c r="IT342" s="0"/>
      <c r="IU342" s="0"/>
      <c r="IV342" s="0"/>
      <c r="IW342" s="0"/>
      <c r="IX342" s="0"/>
      <c r="IY342" s="0"/>
      <c r="IZ342" s="0"/>
      <c r="JA342" s="0"/>
      <c r="JB342" s="0"/>
      <c r="JC342" s="0"/>
      <c r="JD342" s="0"/>
      <c r="JE342" s="0"/>
      <c r="JF342" s="0"/>
      <c r="JG342" s="0"/>
      <c r="JH342" s="0"/>
      <c r="JI342" s="0"/>
      <c r="JJ342" s="0"/>
      <c r="JK342" s="0"/>
      <c r="JL342" s="0"/>
      <c r="JM342" s="0"/>
      <c r="JN342" s="0"/>
      <c r="JO342" s="0"/>
      <c r="JP342" s="0"/>
      <c r="JQ342" s="0"/>
      <c r="JR342" s="0"/>
      <c r="JS342" s="0"/>
      <c r="JT342" s="0"/>
      <c r="JU342" s="0"/>
      <c r="JV342" s="0"/>
      <c r="JW342" s="0"/>
      <c r="JX342" s="0"/>
      <c r="JY342" s="0"/>
      <c r="JZ342" s="0"/>
      <c r="KA342" s="0"/>
      <c r="KB342" s="0"/>
      <c r="KC342" s="0"/>
      <c r="KD342" s="0"/>
      <c r="KE342" s="0"/>
      <c r="KF342" s="0"/>
      <c r="KG342" s="0"/>
      <c r="KH342" s="0"/>
      <c r="KI342" s="0"/>
      <c r="KJ342" s="0"/>
      <c r="KK342" s="0"/>
      <c r="KL342" s="0"/>
      <c r="KM342" s="0"/>
      <c r="KN342" s="0"/>
      <c r="KO342" s="0"/>
      <c r="KP342" s="0"/>
      <c r="KQ342" s="0"/>
      <c r="KR342" s="0"/>
      <c r="KS342" s="0"/>
      <c r="KT342" s="0"/>
      <c r="KU342" s="0"/>
      <c r="KV342" s="0"/>
      <c r="KW342" s="0"/>
      <c r="KX342" s="0"/>
      <c r="KY342" s="0"/>
      <c r="KZ342" s="0"/>
      <c r="LA342" s="0"/>
      <c r="LB342" s="0"/>
      <c r="LC342" s="0"/>
      <c r="LD342" s="0"/>
      <c r="LE342" s="0"/>
      <c r="LF342" s="0"/>
      <c r="LG342" s="0"/>
      <c r="LH342" s="0"/>
      <c r="LI342" s="0"/>
      <c r="LJ342" s="0"/>
      <c r="LK342" s="0"/>
      <c r="LL342" s="0"/>
      <c r="LM342" s="0"/>
      <c r="LN342" s="0"/>
      <c r="LO342" s="0"/>
      <c r="LP342" s="0"/>
      <c r="LQ342" s="0"/>
      <c r="LR342" s="0"/>
      <c r="LS342" s="0"/>
      <c r="LT342" s="0"/>
      <c r="LU342" s="0"/>
      <c r="LV342" s="0"/>
      <c r="LW342" s="0"/>
      <c r="LX342" s="0"/>
      <c r="LY342" s="0"/>
      <c r="LZ342" s="0"/>
      <c r="MA342" s="0"/>
      <c r="MB342" s="0"/>
      <c r="MC342" s="0"/>
      <c r="MD342" s="0"/>
      <c r="ME342" s="0"/>
      <c r="MF342" s="0"/>
      <c r="MG342" s="0"/>
      <c r="MH342" s="0"/>
      <c r="MI342" s="0"/>
      <c r="MJ342" s="0"/>
      <c r="MK342" s="0"/>
      <c r="ML342" s="0"/>
      <c r="MM342" s="0"/>
      <c r="MN342" s="0"/>
      <c r="MO342" s="0"/>
      <c r="MP342" s="0"/>
      <c r="MQ342" s="0"/>
      <c r="MR342" s="0"/>
      <c r="MS342" s="0"/>
      <c r="MT342" s="0"/>
      <c r="MU342" s="0"/>
      <c r="MV342" s="0"/>
      <c r="MW342" s="0"/>
      <c r="MX342" s="0"/>
      <c r="MY342" s="0"/>
      <c r="MZ342" s="0"/>
      <c r="NA342" s="0"/>
      <c r="NB342" s="0"/>
      <c r="NC342" s="0"/>
      <c r="ND342" s="0"/>
      <c r="NE342" s="0"/>
      <c r="NF342" s="0"/>
      <c r="NG342" s="0"/>
      <c r="NH342" s="0"/>
      <c r="NI342" s="0"/>
      <c r="NJ342" s="0"/>
      <c r="NK342" s="0"/>
      <c r="NL342" s="0"/>
      <c r="NM342" s="0"/>
      <c r="NN342" s="0"/>
      <c r="NO342" s="0"/>
      <c r="NP342" s="0"/>
      <c r="NQ342" s="0"/>
      <c r="NR342" s="0"/>
      <c r="NS342" s="0"/>
      <c r="NT342" s="0"/>
      <c r="NU342" s="0"/>
      <c r="NV342" s="0"/>
      <c r="NW342" s="0"/>
      <c r="NX342" s="0"/>
      <c r="NY342" s="0"/>
      <c r="NZ342" s="0"/>
      <c r="OA342" s="0"/>
      <c r="OB342" s="0"/>
      <c r="OC342" s="0"/>
      <c r="OD342" s="0"/>
      <c r="OE342" s="0"/>
      <c r="OF342" s="0"/>
      <c r="OG342" s="0"/>
      <c r="OH342" s="0"/>
      <c r="OI342" s="0"/>
      <c r="OJ342" s="0"/>
      <c r="OK342" s="0"/>
      <c r="OL342" s="0"/>
      <c r="OM342" s="0"/>
      <c r="ON342" s="0"/>
      <c r="OO342" s="0"/>
      <c r="OP342" s="0"/>
      <c r="OQ342" s="0"/>
      <c r="OR342" s="0"/>
      <c r="OS342" s="0"/>
      <c r="OT342" s="0"/>
      <c r="OU342" s="0"/>
      <c r="OV342" s="0"/>
      <c r="OW342" s="0"/>
      <c r="OX342" s="0"/>
      <c r="OY342" s="0"/>
      <c r="OZ342" s="0"/>
      <c r="PA342" s="0"/>
      <c r="PB342" s="0"/>
      <c r="PC342" s="0"/>
      <c r="PD342" s="0"/>
      <c r="PE342" s="0"/>
      <c r="PF342" s="0"/>
      <c r="PG342" s="0"/>
      <c r="PH342" s="0"/>
      <c r="PI342" s="0"/>
      <c r="PJ342" s="0"/>
      <c r="PK342" s="0"/>
      <c r="PL342" s="0"/>
      <c r="PM342" s="0"/>
      <c r="PN342" s="0"/>
      <c r="PO342" s="0"/>
      <c r="PP342" s="0"/>
      <c r="PQ342" s="0"/>
      <c r="PR342" s="0"/>
      <c r="PS342" s="0"/>
      <c r="PT342" s="0"/>
      <c r="PU342" s="0"/>
      <c r="PV342" s="0"/>
      <c r="PW342" s="0"/>
      <c r="PX342" s="0"/>
      <c r="PY342" s="0"/>
      <c r="PZ342" s="0"/>
      <c r="QA342" s="0"/>
      <c r="QB342" s="0"/>
      <c r="QC342" s="0"/>
      <c r="QD342" s="0"/>
      <c r="QE342" s="0"/>
      <c r="QF342" s="0"/>
      <c r="QG342" s="0"/>
      <c r="QH342" s="0"/>
      <c r="QI342" s="0"/>
      <c r="QJ342" s="0"/>
      <c r="QK342" s="0"/>
      <c r="QL342" s="0"/>
      <c r="QM342" s="0"/>
      <c r="QN342" s="0"/>
      <c r="QO342" s="0"/>
      <c r="QP342" s="0"/>
      <c r="QQ342" s="0"/>
      <c r="QR342" s="0"/>
      <c r="QS342" s="0"/>
      <c r="QT342" s="0"/>
      <c r="QU342" s="0"/>
      <c r="QV342" s="0"/>
      <c r="QW342" s="0"/>
      <c r="QX342" s="0"/>
      <c r="QY342" s="0"/>
      <c r="QZ342" s="0"/>
      <c r="RA342" s="0"/>
      <c r="RB342" s="0"/>
      <c r="RC342" s="0"/>
      <c r="RD342" s="0"/>
      <c r="RE342" s="0"/>
      <c r="RF342" s="0"/>
      <c r="RG342" s="0"/>
      <c r="RH342" s="0"/>
      <c r="RI342" s="0"/>
      <c r="RJ342" s="0"/>
      <c r="RK342" s="0"/>
      <c r="RL342" s="0"/>
      <c r="RM342" s="0"/>
      <c r="RN342" s="0"/>
      <c r="RO342" s="0"/>
      <c r="RP342" s="0"/>
      <c r="RQ342" s="0"/>
      <c r="RR342" s="0"/>
      <c r="RS342" s="0"/>
      <c r="RT342" s="0"/>
      <c r="RU342" s="0"/>
      <c r="RV342" s="0"/>
      <c r="RW342" s="0"/>
      <c r="RX342" s="0"/>
      <c r="RY342" s="0"/>
      <c r="RZ342" s="0"/>
      <c r="SA342" s="0"/>
      <c r="SB342" s="0"/>
      <c r="SC342" s="0"/>
      <c r="SD342" s="0"/>
      <c r="SE342" s="0"/>
      <c r="SF342" s="0"/>
      <c r="SG342" s="0"/>
      <c r="SH342" s="0"/>
      <c r="SI342" s="0"/>
      <c r="SJ342" s="0"/>
      <c r="SK342" s="0"/>
      <c r="SL342" s="0"/>
      <c r="SM342" s="0"/>
      <c r="SN342" s="0"/>
      <c r="SO342" s="0"/>
      <c r="SP342" s="0"/>
      <c r="SQ342" s="0"/>
      <c r="SR342" s="0"/>
      <c r="SS342" s="0"/>
      <c r="ST342" s="0"/>
      <c r="SU342" s="0"/>
      <c r="SV342" s="0"/>
      <c r="SW342" s="0"/>
      <c r="SX342" s="0"/>
      <c r="SY342" s="0"/>
      <c r="SZ342" s="0"/>
      <c r="TA342" s="0"/>
      <c r="TB342" s="0"/>
      <c r="TC342" s="0"/>
      <c r="TD342" s="0"/>
      <c r="TE342" s="0"/>
      <c r="TF342" s="0"/>
      <c r="TG342" s="0"/>
      <c r="TH342" s="0"/>
      <c r="TI342" s="0"/>
      <c r="TJ342" s="0"/>
      <c r="TK342" s="0"/>
      <c r="TL342" s="0"/>
      <c r="TM342" s="0"/>
      <c r="TN342" s="0"/>
      <c r="TO342" s="0"/>
      <c r="TP342" s="0"/>
      <c r="TQ342" s="0"/>
      <c r="TR342" s="0"/>
      <c r="TS342" s="0"/>
      <c r="TT342" s="0"/>
      <c r="TU342" s="0"/>
      <c r="TV342" s="0"/>
      <c r="TW342" s="0"/>
      <c r="TX342" s="0"/>
      <c r="TY342" s="0"/>
      <c r="TZ342" s="0"/>
      <c r="UA342" s="0"/>
      <c r="UB342" s="0"/>
      <c r="UC342" s="0"/>
      <c r="UD342" s="0"/>
      <c r="UE342" s="0"/>
      <c r="UF342" s="0"/>
      <c r="UG342" s="0"/>
      <c r="UH342" s="0"/>
      <c r="UI342" s="0"/>
      <c r="UJ342" s="0"/>
      <c r="UK342" s="0"/>
      <c r="UL342" s="0"/>
      <c r="UM342" s="0"/>
      <c r="UN342" s="0"/>
      <c r="UO342" s="0"/>
      <c r="UP342" s="0"/>
      <c r="UQ342" s="0"/>
      <c r="UR342" s="0"/>
      <c r="US342" s="0"/>
      <c r="UT342" s="0"/>
      <c r="UU342" s="0"/>
      <c r="UV342" s="0"/>
      <c r="UW342" s="0"/>
      <c r="UX342" s="0"/>
      <c r="UY342" s="0"/>
      <c r="UZ342" s="0"/>
      <c r="VA342" s="0"/>
      <c r="VB342" s="0"/>
      <c r="VC342" s="0"/>
      <c r="VD342" s="0"/>
      <c r="VE342" s="0"/>
      <c r="VF342" s="0"/>
      <c r="VG342" s="0"/>
      <c r="VH342" s="0"/>
      <c r="VI342" s="0"/>
      <c r="VJ342" s="0"/>
      <c r="VK342" s="0"/>
      <c r="VL342" s="0"/>
      <c r="VM342" s="0"/>
      <c r="VN342" s="0"/>
      <c r="VO342" s="0"/>
      <c r="VP342" s="0"/>
      <c r="VQ342" s="0"/>
      <c r="VR342" s="0"/>
      <c r="VS342" s="0"/>
      <c r="VT342" s="0"/>
      <c r="VU342" s="0"/>
      <c r="VV342" s="0"/>
      <c r="VW342" s="0"/>
      <c r="VX342" s="0"/>
      <c r="VY342" s="0"/>
      <c r="VZ342" s="0"/>
      <c r="WA342" s="0"/>
      <c r="WB342" s="0"/>
      <c r="WC342" s="0"/>
      <c r="WD342" s="0"/>
      <c r="WE342" s="0"/>
      <c r="WF342" s="0"/>
      <c r="WG342" s="0"/>
      <c r="WH342" s="0"/>
      <c r="WI342" s="0"/>
      <c r="WJ342" s="0"/>
      <c r="WK342" s="0"/>
      <c r="WL342" s="0"/>
      <c r="WM342" s="0"/>
      <c r="WN342" s="0"/>
      <c r="WO342" s="0"/>
      <c r="WP342" s="0"/>
      <c r="WQ342" s="0"/>
      <c r="WR342" s="0"/>
      <c r="WS342" s="0"/>
      <c r="WT342" s="0"/>
      <c r="WU342" s="0"/>
      <c r="WV342" s="0"/>
      <c r="WW342" s="0"/>
      <c r="WX342" s="0"/>
      <c r="WY342" s="0"/>
      <c r="WZ342" s="0"/>
      <c r="XA342" s="0"/>
      <c r="XB342" s="0"/>
      <c r="XC342" s="0"/>
      <c r="XD342" s="0"/>
      <c r="XE342" s="0"/>
      <c r="XF342" s="0"/>
      <c r="XG342" s="0"/>
      <c r="XH342" s="0"/>
      <c r="XI342" s="0"/>
      <c r="XJ342" s="0"/>
      <c r="XK342" s="0"/>
      <c r="XL342" s="0"/>
      <c r="XM342" s="0"/>
      <c r="XN342" s="0"/>
      <c r="XO342" s="0"/>
      <c r="XP342" s="0"/>
      <c r="XQ342" s="0"/>
      <c r="XR342" s="0"/>
      <c r="XS342" s="0"/>
      <c r="XT342" s="0"/>
      <c r="XU342" s="0"/>
      <c r="XV342" s="0"/>
      <c r="XW342" s="0"/>
      <c r="XX342" s="0"/>
      <c r="XY342" s="0"/>
      <c r="XZ342" s="0"/>
      <c r="YA342" s="0"/>
      <c r="YB342" s="0"/>
      <c r="YC342" s="0"/>
      <c r="YD342" s="0"/>
      <c r="YE342" s="0"/>
      <c r="YF342" s="0"/>
      <c r="YG342" s="0"/>
      <c r="YH342" s="0"/>
      <c r="YI342" s="0"/>
      <c r="YJ342" s="0"/>
      <c r="YK342" s="0"/>
      <c r="YL342" s="0"/>
      <c r="YM342" s="0"/>
      <c r="YN342" s="0"/>
      <c r="YO342" s="0"/>
      <c r="YP342" s="0"/>
      <c r="YQ342" s="0"/>
      <c r="YR342" s="0"/>
      <c r="YS342" s="0"/>
      <c r="YT342" s="0"/>
      <c r="YU342" s="0"/>
      <c r="YV342" s="0"/>
      <c r="YW342" s="0"/>
      <c r="YX342" s="0"/>
      <c r="YY342" s="0"/>
      <c r="YZ342" s="0"/>
      <c r="ZA342" s="0"/>
      <c r="ZB342" s="0"/>
      <c r="ZC342" s="0"/>
      <c r="ZD342" s="0"/>
      <c r="ZE342" s="0"/>
      <c r="ZF342" s="0"/>
      <c r="ZG342" s="0"/>
      <c r="ZH342" s="0"/>
      <c r="ZI342" s="0"/>
      <c r="ZJ342" s="0"/>
      <c r="ZK342" s="0"/>
      <c r="ZL342" s="0"/>
      <c r="ZM342" s="0"/>
      <c r="ZN342" s="0"/>
      <c r="ZO342" s="0"/>
      <c r="ZP342" s="0"/>
      <c r="ZQ342" s="0"/>
      <c r="ZR342" s="0"/>
      <c r="ZS342" s="0"/>
      <c r="ZT342" s="0"/>
      <c r="ZU342" s="0"/>
      <c r="ZV342" s="0"/>
      <c r="ZW342" s="0"/>
      <c r="ZX342" s="0"/>
      <c r="ZY342" s="0"/>
      <c r="ZZ342" s="0"/>
      <c r="AAA342" s="0"/>
      <c r="AAB342" s="0"/>
      <c r="AAC342" s="0"/>
      <c r="AAD342" s="0"/>
      <c r="AAE342" s="0"/>
      <c r="AAF342" s="0"/>
      <c r="AAG342" s="0"/>
      <c r="AAH342" s="0"/>
      <c r="AAI342" s="0"/>
      <c r="AAJ342" s="0"/>
      <c r="AAK342" s="0"/>
      <c r="AAL342" s="0"/>
      <c r="AAM342" s="0"/>
      <c r="AAN342" s="0"/>
      <c r="AAO342" s="0"/>
      <c r="AAP342" s="0"/>
      <c r="AAQ342" s="0"/>
      <c r="AAR342" s="0"/>
      <c r="AAS342" s="0"/>
      <c r="AAT342" s="0"/>
      <c r="AAU342" s="0"/>
      <c r="AAV342" s="0"/>
      <c r="AAW342" s="0"/>
      <c r="AAX342" s="0"/>
      <c r="AAY342" s="0"/>
      <c r="AAZ342" s="0"/>
      <c r="ABA342" s="0"/>
      <c r="ABB342" s="0"/>
      <c r="ABC342" s="0"/>
      <c r="ABD342" s="0"/>
      <c r="ABE342" s="0"/>
      <c r="ABF342" s="0"/>
      <c r="ABG342" s="0"/>
      <c r="ABH342" s="0"/>
      <c r="ABI342" s="0"/>
      <c r="ABJ342" s="0"/>
      <c r="ABK342" s="0"/>
      <c r="ABL342" s="0"/>
      <c r="ABM342" s="0"/>
      <c r="ABN342" s="0"/>
      <c r="ABO342" s="0"/>
      <c r="ABP342" s="0"/>
      <c r="ABQ342" s="0"/>
      <c r="ABR342" s="0"/>
      <c r="ABS342" s="0"/>
      <c r="ABT342" s="0"/>
      <c r="ABU342" s="0"/>
      <c r="ABV342" s="0"/>
      <c r="ABW342" s="0"/>
      <c r="ABX342" s="0"/>
      <c r="ABY342" s="0"/>
      <c r="ABZ342" s="0"/>
      <c r="ACA342" s="0"/>
      <c r="ACB342" s="0"/>
      <c r="ACC342" s="0"/>
      <c r="ACD342" s="0"/>
      <c r="ACE342" s="0"/>
      <c r="ACF342" s="0"/>
      <c r="ACG342" s="0"/>
      <c r="ACH342" s="0"/>
      <c r="ACI342" s="0"/>
      <c r="ACJ342" s="0"/>
      <c r="ACK342" s="0"/>
      <c r="ACL342" s="0"/>
      <c r="ACM342" s="0"/>
      <c r="ACN342" s="0"/>
      <c r="ACO342" s="0"/>
      <c r="ACP342" s="0"/>
      <c r="ACQ342" s="0"/>
      <c r="ACR342" s="0"/>
      <c r="ACS342" s="0"/>
      <c r="ACT342" s="0"/>
      <c r="ACU342" s="0"/>
      <c r="ACV342" s="0"/>
      <c r="ACW342" s="0"/>
      <c r="ACX342" s="0"/>
      <c r="ACY342" s="0"/>
      <c r="ACZ342" s="0"/>
      <c r="ADA342" s="0"/>
      <c r="ADB342" s="0"/>
      <c r="ADC342" s="0"/>
      <c r="ADD342" s="0"/>
      <c r="ADE342" s="0"/>
      <c r="ADF342" s="0"/>
      <c r="ADG342" s="0"/>
      <c r="ADH342" s="0"/>
      <c r="ADI342" s="0"/>
      <c r="ADJ342" s="0"/>
      <c r="ADK342" s="0"/>
      <c r="ADL342" s="0"/>
      <c r="ADM342" s="0"/>
      <c r="ADN342" s="0"/>
      <c r="ADO342" s="0"/>
      <c r="ADP342" s="0"/>
      <c r="ADQ342" s="0"/>
      <c r="ADR342" s="0"/>
      <c r="ADS342" s="0"/>
      <c r="ADT342" s="0"/>
      <c r="ADU342" s="0"/>
      <c r="ADV342" s="0"/>
      <c r="ADW342" s="0"/>
      <c r="ADX342" s="0"/>
      <c r="ADY342" s="0"/>
      <c r="ADZ342" s="0"/>
      <c r="AEA342" s="0"/>
      <c r="AEB342" s="0"/>
      <c r="AEC342" s="0"/>
      <c r="AED342" s="0"/>
      <c r="AEE342" s="0"/>
      <c r="AEF342" s="0"/>
      <c r="AEG342" s="0"/>
      <c r="AEH342" s="0"/>
      <c r="AEI342" s="0"/>
      <c r="AEJ342" s="0"/>
      <c r="AEK342" s="0"/>
      <c r="AEL342" s="0"/>
      <c r="AEM342" s="0"/>
      <c r="AEN342" s="0"/>
      <c r="AEO342" s="0"/>
      <c r="AEP342" s="0"/>
      <c r="AEQ342" s="0"/>
      <c r="AER342" s="0"/>
      <c r="AES342" s="0"/>
      <c r="AET342" s="0"/>
      <c r="AEU342" s="0"/>
      <c r="AEV342" s="0"/>
      <c r="AEW342" s="0"/>
      <c r="AEX342" s="0"/>
      <c r="AEY342" s="0"/>
      <c r="AEZ342" s="0"/>
      <c r="AFA342" s="0"/>
      <c r="AFB342" s="0"/>
      <c r="AFC342" s="0"/>
      <c r="AFD342" s="0"/>
      <c r="AFE342" s="0"/>
      <c r="AFF342" s="0"/>
      <c r="AFG342" s="0"/>
      <c r="AFH342" s="0"/>
      <c r="AFI342" s="0"/>
      <c r="AFJ342" s="0"/>
      <c r="AFK342" s="0"/>
      <c r="AFL342" s="0"/>
      <c r="AFM342" s="0"/>
      <c r="AFN342" s="0"/>
      <c r="AFO342" s="0"/>
      <c r="AFP342" s="0"/>
      <c r="AFQ342" s="0"/>
      <c r="AFR342" s="0"/>
      <c r="AFS342" s="0"/>
      <c r="AFT342" s="0"/>
      <c r="AFU342" s="0"/>
      <c r="AFV342" s="0"/>
      <c r="AFW342" s="0"/>
      <c r="AFX342" s="0"/>
      <c r="AFY342" s="0"/>
      <c r="AFZ342" s="0"/>
      <c r="AGA342" s="0"/>
      <c r="AGB342" s="0"/>
      <c r="AGC342" s="0"/>
      <c r="AGD342" s="0"/>
      <c r="AGE342" s="0"/>
      <c r="AGF342" s="0"/>
      <c r="AGG342" s="0"/>
      <c r="AGH342" s="0"/>
      <c r="AGI342" s="0"/>
      <c r="AGJ342" s="0"/>
      <c r="AGK342" s="0"/>
      <c r="AGL342" s="0"/>
      <c r="AGM342" s="0"/>
      <c r="AGN342" s="0"/>
      <c r="AGO342" s="0"/>
      <c r="AGP342" s="0"/>
      <c r="AGQ342" s="0"/>
      <c r="AGR342" s="0"/>
      <c r="AGS342" s="0"/>
      <c r="AGT342" s="0"/>
      <c r="AGU342" s="0"/>
      <c r="AGV342" s="0"/>
      <c r="AGW342" s="0"/>
      <c r="AGX342" s="0"/>
      <c r="AGY342" s="0"/>
      <c r="AGZ342" s="0"/>
      <c r="AHA342" s="0"/>
      <c r="AHB342" s="0"/>
      <c r="AHC342" s="0"/>
      <c r="AHD342" s="0"/>
      <c r="AHE342" s="0"/>
      <c r="AHF342" s="0"/>
      <c r="AHG342" s="0"/>
      <c r="AHH342" s="0"/>
      <c r="AHI342" s="0"/>
      <c r="AHJ342" s="0"/>
      <c r="AHK342" s="0"/>
      <c r="AHL342" s="0"/>
      <c r="AHM342" s="0"/>
      <c r="AHN342" s="0"/>
      <c r="AHO342" s="0"/>
      <c r="AHP342" s="0"/>
      <c r="AHQ342" s="0"/>
      <c r="AHR342" s="0"/>
      <c r="AHS342" s="0"/>
      <c r="AHT342" s="0"/>
      <c r="AHU342" s="0"/>
      <c r="AHV342" s="0"/>
      <c r="AHW342" s="0"/>
      <c r="AHX342" s="0"/>
      <c r="AHY342" s="0"/>
      <c r="AHZ342" s="0"/>
      <c r="AIA342" s="0"/>
      <c r="AIB342" s="0"/>
      <c r="AIC342" s="0"/>
      <c r="AID342" s="0"/>
      <c r="AIE342" s="0"/>
      <c r="AIF342" s="0"/>
      <c r="AIG342" s="0"/>
      <c r="AIH342" s="0"/>
      <c r="AII342" s="0"/>
      <c r="AIJ342" s="0"/>
      <c r="AIK342" s="0"/>
      <c r="AIL342" s="0"/>
      <c r="AIM342" s="0"/>
      <c r="AIN342" s="0"/>
      <c r="AIO342" s="0"/>
      <c r="AIP342" s="0"/>
      <c r="AIQ342" s="0"/>
      <c r="AIR342" s="0"/>
      <c r="AIS342" s="0"/>
      <c r="AIT342" s="0"/>
      <c r="AIU342" s="0"/>
      <c r="AIV342" s="0"/>
      <c r="AIW342" s="0"/>
      <c r="AIX342" s="0"/>
      <c r="AIY342" s="0"/>
      <c r="AIZ342" s="0"/>
      <c r="AJA342" s="0"/>
      <c r="AJB342" s="0"/>
      <c r="AJC342" s="0"/>
      <c r="AJD342" s="0"/>
      <c r="AJE342" s="0"/>
      <c r="AJF342" s="0"/>
      <c r="AJG342" s="0"/>
      <c r="AJH342" s="0"/>
      <c r="AJI342" s="0"/>
      <c r="AJJ342" s="0"/>
      <c r="AJK342" s="0"/>
      <c r="AJL342" s="0"/>
      <c r="AJM342" s="0"/>
      <c r="AJN342" s="0"/>
      <c r="AJO342" s="0"/>
      <c r="AJP342" s="0"/>
      <c r="AJQ342" s="0"/>
      <c r="AJR342" s="0"/>
      <c r="AJS342" s="0"/>
      <c r="AJT342" s="0"/>
      <c r="AJU342" s="0"/>
      <c r="AJV342" s="0"/>
      <c r="AJW342" s="0"/>
      <c r="AJX342" s="0"/>
      <c r="AJY342" s="0"/>
      <c r="AJZ342" s="0"/>
      <c r="AKA342" s="0"/>
      <c r="AKB342" s="0"/>
      <c r="AKC342" s="0"/>
      <c r="AKD342" s="0"/>
      <c r="AKE342" s="0"/>
      <c r="AKF342" s="0"/>
      <c r="AKG342" s="0"/>
      <c r="AKH342" s="0"/>
      <c r="AKI342" s="0"/>
      <c r="AKJ342" s="0"/>
      <c r="AKK342" s="0"/>
      <c r="AKL342" s="0"/>
      <c r="AKM342" s="0"/>
      <c r="AKN342" s="0"/>
      <c r="AKO342" s="0"/>
      <c r="AKP342" s="0"/>
      <c r="AKQ342" s="0"/>
      <c r="AKR342" s="0"/>
      <c r="AKS342" s="0"/>
      <c r="AKT342" s="0"/>
      <c r="AKU342" s="0"/>
      <c r="AKV342" s="0"/>
      <c r="AKW342" s="0"/>
      <c r="AKX342" s="0"/>
      <c r="AKY342" s="0"/>
      <c r="AKZ342" s="0"/>
      <c r="ALA342" s="0"/>
      <c r="ALB342" s="0"/>
      <c r="ALC342" s="0"/>
      <c r="ALD342" s="0"/>
      <c r="ALE342" s="0"/>
      <c r="ALF342" s="0"/>
      <c r="ALG342" s="0"/>
      <c r="ALH342" s="0"/>
      <c r="ALI342" s="0"/>
      <c r="ALJ342" s="0"/>
      <c r="ALK342" s="0"/>
      <c r="ALL342" s="0"/>
      <c r="ALM342" s="0"/>
      <c r="ALN342" s="0"/>
      <c r="ALO342" s="0"/>
      <c r="ALP342" s="0"/>
      <c r="ALQ342" s="0"/>
      <c r="ALR342" s="0"/>
      <c r="ALS342" s="0"/>
      <c r="ALT342" s="0"/>
      <c r="ALU342" s="0"/>
      <c r="ALV342" s="0"/>
      <c r="ALW342" s="0"/>
      <c r="ALX342" s="0"/>
      <c r="ALY342" s="0"/>
      <c r="ALZ342" s="0"/>
      <c r="AMA342" s="0"/>
      <c r="AMB342" s="0"/>
      <c r="AMC342" s="0"/>
      <c r="AMD342" s="0"/>
      <c r="AME342" s="0"/>
      <c r="AMF342" s="0"/>
      <c r="AMG342" s="0"/>
      <c r="AMH342" s="0"/>
    </row>
    <row r="343" customFormat="false" ht="18.7" hidden="false" customHeight="true" outlineLevel="0" collapsed="false">
      <c r="A343" s="1" t="n">
        <v>364</v>
      </c>
      <c r="B343" s="7" t="str">
        <f aca="false">HYPERLINK("https://mncourtfraud.com/file/AMW-19.zip","AMW-19.zip")</f>
        <v>AMW-19.zip</v>
      </c>
      <c r="C343" s="8" t="str">
        <f aca="false">HYPERLINK("https://mncourtfraud.com/file/27-CR-17-1555.pdf","27-CR-17-1555")</f>
        <v>27-CR-17-1555</v>
      </c>
      <c r="D343" s="3" t="s">
        <v>172</v>
      </c>
      <c r="E343" s="9" t="n">
        <v>44922</v>
      </c>
      <c r="F343" s="8" t="str">
        <f aca="false">HYPERLINK("https://mncourtfraud.com/file/MCRO_27-CR-17-1555_Order-Other_2022-12-27_20240430093545.pdf","MCRO_27-CR-17-1555_Order-Other_2022-12-27_20240430093545.pdf")</f>
        <v>MCRO_27-CR-17-1555_Order-Other_2022-12-27_20240430093545.pdf</v>
      </c>
      <c r="G343" s="8" t="str">
        <f aca="false">HYPERLINK("https://mncourtfraud.com/file/c61446a99d583bf62d3ee1d7eaab9371fe3405cb9af6bd6021d82bf2d7398dea.png","c61446a99d583bf62d3ee1d7eaab9371fe3405cb9af6bd6021d82bf2d7398dea")</f>
        <v>c61446a99d583bf62d3ee1d7eaab9371fe3405cb9af6bd6021d82bf2d7398dea</v>
      </c>
      <c r="H343" s="1" t="s">
        <v>1460</v>
      </c>
      <c r="I343" s="3" t="s">
        <v>1571</v>
      </c>
      <c r="J343" s="1" t="s">
        <v>1482</v>
      </c>
      <c r="K343" s="3" t="n">
        <v>3734</v>
      </c>
      <c r="L343" s="15" t="s">
        <v>1487</v>
      </c>
      <c r="M343" s="1" t="s">
        <v>1484</v>
      </c>
      <c r="N343" s="9" t="n">
        <v>44922</v>
      </c>
      <c r="O343" s="10" t="s">
        <v>1572</v>
      </c>
      <c r="P343" s="1" t="n">
        <v>2310</v>
      </c>
      <c r="Q343" s="1" t="n">
        <v>150</v>
      </c>
    </row>
    <row r="344" customFormat="false" ht="18.7" hidden="false" customHeight="true" outlineLevel="0" collapsed="false">
      <c r="A344" s="1" t="n">
        <v>365</v>
      </c>
      <c r="B344" s="7" t="str">
        <f aca="false">HYPERLINK("https://mncourtfraud.com/file/AMW-19.zip","AMW-19.zip")</f>
        <v>AMW-19.zip</v>
      </c>
      <c r="C344" s="8" t="str">
        <f aca="false">HYPERLINK("https://mncourtfraud.com/file/27-CR-17-22909.pdf","27-CR-17-22909")</f>
        <v>27-CR-17-22909</v>
      </c>
      <c r="D344" s="3" t="s">
        <v>172</v>
      </c>
      <c r="E344" s="9" t="n">
        <v>44924</v>
      </c>
      <c r="F344" s="8" t="str">
        <f aca="false">HYPERLINK("https://mncourtfraud.com/file/MCRO_27-CR-17-22909_Order-Other_2022-12-29_20240430093721.pdf","MCRO_27-CR-17-22909_Order-Other_2022-12-29_20240430093721.pdf")</f>
        <v>MCRO_27-CR-17-22909_Order-Other_2022-12-29_20240430093721.pdf</v>
      </c>
      <c r="G344" s="8" t="str">
        <f aca="false">HYPERLINK("https://mncourtfraud.com/file/c61446a99d583bf62d3ee1d7eaab9371fe3405cb9af6bd6021d82bf2d7398dea.png","c61446a99d583bf62d3ee1d7eaab9371fe3405cb9af6bd6021d82bf2d7398dea")</f>
        <v>c61446a99d583bf62d3ee1d7eaab9371fe3405cb9af6bd6021d82bf2d7398dea</v>
      </c>
      <c r="H344" s="1" t="s">
        <v>1460</v>
      </c>
      <c r="I344" s="3" t="s">
        <v>1571</v>
      </c>
      <c r="J344" s="1" t="s">
        <v>1482</v>
      </c>
      <c r="K344" s="3" t="n">
        <v>3734</v>
      </c>
      <c r="L344" s="15" t="s">
        <v>1487</v>
      </c>
      <c r="M344" s="1" t="s">
        <v>1484</v>
      </c>
      <c r="N344" s="9" t="n">
        <v>44922</v>
      </c>
      <c r="O344" s="10" t="s">
        <v>1572</v>
      </c>
      <c r="P344" s="1" t="n">
        <v>2310</v>
      </c>
      <c r="Q344" s="1" t="n">
        <v>150</v>
      </c>
    </row>
    <row r="345" customFormat="false" ht="18.7" hidden="false" customHeight="true" outlineLevel="0" collapsed="false">
      <c r="A345" s="1" t="n">
        <v>366</v>
      </c>
      <c r="B345" s="7" t="str">
        <f aca="false">HYPERLINK("https://mncourtfraud.com/file/AMW-19.zip","AMW-19.zip")</f>
        <v>AMW-19.zip</v>
      </c>
      <c r="C345" s="8" t="str">
        <f aca="false">HYPERLINK("https://mncourtfraud.com/file/27-CR-17-8342.pdf","27-CR-17-8342")</f>
        <v>27-CR-17-8342</v>
      </c>
      <c r="D345" s="3" t="s">
        <v>172</v>
      </c>
      <c r="E345" s="9" t="n">
        <v>44922</v>
      </c>
      <c r="F345" s="8" t="str">
        <f aca="false">HYPERLINK("https://mncourtfraud.com/file/MCRO_27-CR-17-8342_Order-Other_2022-12-27_20240430093638.pdf","MCRO_27-CR-17-8342_Order-Other_2022-12-27_20240430093638.pdf")</f>
        <v>MCRO_27-CR-17-8342_Order-Other_2022-12-27_20240430093638.pdf</v>
      </c>
      <c r="G345" s="8" t="str">
        <f aca="false">HYPERLINK("https://mncourtfraud.com/file/c61446a99d583bf62d3ee1d7eaab9371fe3405cb9af6bd6021d82bf2d7398dea.png","c61446a99d583bf62d3ee1d7eaab9371fe3405cb9af6bd6021d82bf2d7398dea")</f>
        <v>c61446a99d583bf62d3ee1d7eaab9371fe3405cb9af6bd6021d82bf2d7398dea</v>
      </c>
      <c r="H345" s="1" t="s">
        <v>1460</v>
      </c>
      <c r="I345" s="3" t="s">
        <v>1571</v>
      </c>
      <c r="J345" s="1" t="s">
        <v>1482</v>
      </c>
      <c r="K345" s="3" t="n">
        <v>3734</v>
      </c>
      <c r="L345" s="15" t="s">
        <v>1487</v>
      </c>
      <c r="M345" s="1" t="s">
        <v>1484</v>
      </c>
      <c r="N345" s="9" t="n">
        <v>44922</v>
      </c>
      <c r="O345" s="10" t="s">
        <v>1572</v>
      </c>
      <c r="P345" s="1" t="n">
        <v>2310</v>
      </c>
      <c r="Q345" s="1" t="n">
        <v>150</v>
      </c>
    </row>
    <row r="346" customFormat="false" ht="18.7" hidden="false" customHeight="true" outlineLevel="0" collapsed="false">
      <c r="A346" s="1" t="n">
        <v>367</v>
      </c>
      <c r="E346" s="9"/>
      <c r="K346" s="3"/>
      <c r="L346" s="15"/>
      <c r="N346" s="9"/>
      <c r="O346" s="10"/>
      <c r="P346" s="1"/>
      <c r="Q346" s="1"/>
    </row>
    <row r="347" customFormat="false" ht="18.7" hidden="false" customHeight="true" outlineLevel="0" collapsed="false">
      <c r="A347" s="1" t="n">
        <v>368</v>
      </c>
      <c r="B347" s="7" t="str">
        <f aca="false">HYPERLINK("https://mncourtfraud.com/file/AMW-20.zip","AMW-20.zip")</f>
        <v>AMW-20.zip</v>
      </c>
      <c r="C347" s="8" t="str">
        <f aca="false">HYPERLINK("https://mncourtfraud.com/file/27-CR-17-1555.pdf","27-CR-17-1555")</f>
        <v>27-CR-17-1555</v>
      </c>
      <c r="D347" s="3" t="s">
        <v>172</v>
      </c>
      <c r="E347" s="9" t="n">
        <v>45393</v>
      </c>
      <c r="F347" s="8" t="str">
        <f aca="false">HYPERLINK("https://mncourtfraud.com/file/MCRO_27-CR-17-1555_Order Denying Motion_2024-04-11_20240430093537.pdf","MCRO_27-CR-17-1555_Order Denying Motion_2024-04-11_20240430093537.pdf")</f>
        <v>MCRO_27-CR-17-1555_Order Denying Motion_2024-04-11_20240430093537.pdf</v>
      </c>
      <c r="G347" s="8" t="str">
        <f aca="false">HYPERLINK("https://mncourtfraud.com/file/ceb91e231c406660b0ab4d04682ace62cfad9f79a07a58f87773fa55392b2a38.png","ceb91e231c406660b0ab4d04682ace62cfad9f79a07a58f87773fa55392b2a38")</f>
        <v>ceb91e231c406660b0ab4d04682ace62cfad9f79a07a58f87773fa55392b2a38</v>
      </c>
      <c r="H347" s="1" t="s">
        <v>1460</v>
      </c>
      <c r="I347" s="3" t="s">
        <v>1573</v>
      </c>
      <c r="J347" s="1" t="s">
        <v>1482</v>
      </c>
      <c r="K347" s="3" t="n">
        <v>2403</v>
      </c>
      <c r="L347" s="15" t="s">
        <v>1515</v>
      </c>
      <c r="M347" s="1" t="s">
        <v>1484</v>
      </c>
      <c r="N347" s="9" t="n">
        <v>45393</v>
      </c>
      <c r="O347" s="10" t="s">
        <v>1574</v>
      </c>
      <c r="P347" s="1" t="n">
        <v>1290</v>
      </c>
      <c r="Q347" s="1" t="n">
        <v>120</v>
      </c>
    </row>
    <row r="348" customFormat="false" ht="18.7" hidden="false" customHeight="true" outlineLevel="0" collapsed="false">
      <c r="A348" s="1" t="n">
        <v>369</v>
      </c>
      <c r="B348" s="7" t="str">
        <f aca="false">HYPERLINK("https://mncourtfraud.com/file/AMW-20.zip","AMW-20.zip")</f>
        <v>AMW-20.zip</v>
      </c>
      <c r="C348" s="8" t="str">
        <f aca="false">HYPERLINK("https://mncourtfraud.com/file/27-CR-17-8342.pdf","27-CR-17-8342")</f>
        <v>27-CR-17-8342</v>
      </c>
      <c r="D348" s="3" t="s">
        <v>172</v>
      </c>
      <c r="E348" s="9" t="n">
        <v>45393</v>
      </c>
      <c r="F348" s="8" t="str">
        <f aca="false">HYPERLINK("https://mncourtfraud.com/file/MCRO_27-CR-17-8342_Order Denying Motion_2024-04-11_20240430093632.pdf","MCRO_27-CR-17-8342_Order Denying Motion_2024-04-11_20240430093632.pdf")</f>
        <v>MCRO_27-CR-17-8342_Order Denying Motion_2024-04-11_20240430093632.pdf</v>
      </c>
      <c r="G348" s="8" t="str">
        <f aca="false">HYPERLINK("https://mncourtfraud.com/file/ceb91e231c406660b0ab4d04682ace62cfad9f79a07a58f87773fa55392b2a38.png","ceb91e231c406660b0ab4d04682ace62cfad9f79a07a58f87773fa55392b2a38")</f>
        <v>ceb91e231c406660b0ab4d04682ace62cfad9f79a07a58f87773fa55392b2a38</v>
      </c>
      <c r="H348" s="1" t="s">
        <v>1460</v>
      </c>
      <c r="I348" s="3" t="s">
        <v>1573</v>
      </c>
      <c r="J348" s="1" t="s">
        <v>1482</v>
      </c>
      <c r="K348" s="3" t="n">
        <v>2403</v>
      </c>
      <c r="L348" s="15" t="s">
        <v>1515</v>
      </c>
      <c r="M348" s="1" t="s">
        <v>1484</v>
      </c>
      <c r="N348" s="9" t="n">
        <v>45393</v>
      </c>
      <c r="O348" s="10" t="s">
        <v>1574</v>
      </c>
      <c r="P348" s="1" t="n">
        <v>1290</v>
      </c>
      <c r="Q348" s="1" t="n">
        <v>120</v>
      </c>
    </row>
    <row r="349" customFormat="false" ht="18.7" hidden="false" customHeight="true" outlineLevel="0" collapsed="false">
      <c r="A349" s="1" t="n">
        <v>370</v>
      </c>
      <c r="E349" s="9"/>
      <c r="K349" s="3"/>
      <c r="L349" s="15"/>
      <c r="N349" s="9"/>
      <c r="O349" s="10"/>
      <c r="P349" s="1"/>
      <c r="Q349" s="1"/>
    </row>
    <row r="350" customFormat="false" ht="18.7" hidden="false" customHeight="true" outlineLevel="0" collapsed="false">
      <c r="A350" s="1" t="n">
        <v>371</v>
      </c>
      <c r="B350" s="7" t="str">
        <f aca="false">HYPERLINK("https://mncourtfraud.com/file/EGK-21.zip","EGK-21.zip")</f>
        <v>EGK-21.zip</v>
      </c>
      <c r="C350" s="8" t="str">
        <f aca="false">HYPERLINK("https://mncourtfraud.com/file/27-CR-19-901.pdf","27-CR-19-901")</f>
        <v>27-CR-19-901</v>
      </c>
      <c r="D350" s="3" t="s">
        <v>879</v>
      </c>
      <c r="E350" s="9" t="n">
        <v>44972</v>
      </c>
      <c r="F350" s="8" t="str">
        <f aca="false">HYPERLINK("https://mncourtfraud.com/file/MCRO_27-CR-19-901_Finding of Incompetency and Order_2023-02-15_20240430091100.pdf","MCRO_27-CR-19-901_Finding of Incompetency and Order_2023-02-15_20240430091100.pdf")</f>
        <v>MCRO_27-CR-19-901_Finding of Incompetency and Order_2023-02-15_20240430091100.pdf</v>
      </c>
      <c r="G350" s="8" t="str">
        <f aca="false">HYPERLINK("https://mncourtfraud.com/file/3fa4ebb8d035a6524a54020a104b79c28b9dd2285f58792553262615ada0e668.png","3fa4ebb8d035a6524a54020a104b79c28b9dd2285f58792553262615ada0e668")</f>
        <v>3fa4ebb8d035a6524a54020a104b79c28b9dd2285f58792553262615ada0e668</v>
      </c>
      <c r="H350" s="1" t="s">
        <v>1460</v>
      </c>
      <c r="I350" s="3" t="s">
        <v>1575</v>
      </c>
      <c r="J350" s="1" t="s">
        <v>1482</v>
      </c>
      <c r="K350" s="3" t="n">
        <v>3825</v>
      </c>
      <c r="L350" s="15" t="s">
        <v>1483</v>
      </c>
      <c r="M350" s="1" t="s">
        <v>1484</v>
      </c>
      <c r="N350" s="9" t="n">
        <v>44972</v>
      </c>
      <c r="O350" s="10" t="s">
        <v>1576</v>
      </c>
      <c r="P350" s="1" t="n">
        <v>1890</v>
      </c>
      <c r="Q350" s="1" t="n">
        <v>150</v>
      </c>
    </row>
    <row r="351" customFormat="false" ht="18.7" hidden="false" customHeight="true" outlineLevel="0" collapsed="false">
      <c r="A351" s="1" t="n">
        <v>372</v>
      </c>
      <c r="B351" s="7" t="str">
        <f aca="false">HYPERLINK("https://mncourtfraud.com/file/EGK-21.zip","EGK-21.zip")</f>
        <v>EGK-21.zip</v>
      </c>
      <c r="C351" s="8" t="str">
        <f aca="false">HYPERLINK("https://mncourtfraud.com/file/27-CR-20-13495.pdf","27-CR-20-13495")</f>
        <v>27-CR-20-13495</v>
      </c>
      <c r="D351" s="3" t="s">
        <v>879</v>
      </c>
      <c r="E351" s="9" t="n">
        <v>44972</v>
      </c>
      <c r="F351" s="8" t="str">
        <f aca="false">HYPERLINK("https://mncourtfraud.com/file/MCRO_27-CR-20-13495_Finding of Incompetency and Order_2023-02-15_20240430085918.pdf","MCRO_27-CR-20-13495_Finding of Incompetency and Order_2023-02-15_20240430085918.pdf")</f>
        <v>MCRO_27-CR-20-13495_Finding of Incompetency and Order_2023-02-15_20240430085918.pdf</v>
      </c>
      <c r="G351" s="8" t="str">
        <f aca="false">HYPERLINK("https://mncourtfraud.com/file/3fa4ebb8d035a6524a54020a104b79c28b9dd2285f58792553262615ada0e668.png","3fa4ebb8d035a6524a54020a104b79c28b9dd2285f58792553262615ada0e668")</f>
        <v>3fa4ebb8d035a6524a54020a104b79c28b9dd2285f58792553262615ada0e668</v>
      </c>
      <c r="H351" s="1" t="s">
        <v>1460</v>
      </c>
      <c r="I351" s="3" t="s">
        <v>1575</v>
      </c>
      <c r="J351" s="1" t="s">
        <v>1482</v>
      </c>
      <c r="K351" s="3" t="n">
        <v>3825</v>
      </c>
      <c r="L351" s="15" t="s">
        <v>1483</v>
      </c>
      <c r="M351" s="1" t="s">
        <v>1484</v>
      </c>
      <c r="N351" s="9" t="n">
        <v>44972</v>
      </c>
      <c r="O351" s="10" t="s">
        <v>1576</v>
      </c>
      <c r="P351" s="1" t="n">
        <v>1890</v>
      </c>
      <c r="Q351" s="1" t="n">
        <v>150</v>
      </c>
    </row>
    <row r="352" customFormat="false" ht="18.7" hidden="false" customHeight="true" outlineLevel="0" collapsed="false">
      <c r="A352" s="1" t="n">
        <v>373</v>
      </c>
      <c r="B352" s="7" t="str">
        <f aca="false">HYPERLINK("https://mncourtfraud.com/file/EGK-21.zip","EGK-21.zip")</f>
        <v>EGK-21.zip</v>
      </c>
      <c r="C352" s="8" t="str">
        <f aca="false">HYPERLINK("https://mncourtfraud.com/file/27-CR-19-901.pdf","27-CR-19-901")</f>
        <v>27-CR-19-901</v>
      </c>
      <c r="D352" s="3" t="s">
        <v>879</v>
      </c>
      <c r="E352" s="9" t="n">
        <v>44972</v>
      </c>
      <c r="F352" s="8" t="str">
        <f aca="false">HYPERLINK("https://mncourtfraud.com/file/MCRO_27-CR-19-901_Finding of Incompetency and Order_2023-02-15_20240430091100.pdf","MCRO_27-CR-19-901_Finding of Incompetency and Order_2023-02-15_20240430091100.pdf")</f>
        <v>MCRO_27-CR-19-901_Finding of Incompetency and Order_2023-02-15_20240430091100.pdf</v>
      </c>
      <c r="G352" s="8" t="str">
        <f aca="false">HYPERLINK("https://mncourtfraud.com/file/3fa4ebb8d035a6524a54020a104b79c28b9dd2285f58792553262615ada0e668.png","3fa4ebb8d035a6524a54020a104b79c28b9dd2285f58792553262615ada0e668")</f>
        <v>3fa4ebb8d035a6524a54020a104b79c28b9dd2285f58792553262615ada0e668</v>
      </c>
      <c r="H352" s="1" t="s">
        <v>1460</v>
      </c>
      <c r="I352" s="3" t="s">
        <v>1575</v>
      </c>
      <c r="J352" s="1" t="s">
        <v>1482</v>
      </c>
      <c r="K352" s="3" t="n">
        <v>3825</v>
      </c>
      <c r="L352" s="15" t="s">
        <v>1483</v>
      </c>
      <c r="M352" s="1" t="s">
        <v>1484</v>
      </c>
      <c r="N352" s="9" t="n">
        <v>44972</v>
      </c>
      <c r="O352" s="10" t="s">
        <v>1576</v>
      </c>
      <c r="P352" s="1" t="n">
        <v>1890</v>
      </c>
      <c r="Q352" s="1" t="n">
        <v>150</v>
      </c>
    </row>
    <row r="353" customFormat="false" ht="18.7" hidden="false" customHeight="true" outlineLevel="0" collapsed="false">
      <c r="A353" s="1" t="n">
        <v>374</v>
      </c>
      <c r="B353" s="7" t="str">
        <f aca="false">HYPERLINK("https://mncourtfraud.com/file/EGK-21.zip","EGK-21.zip")</f>
        <v>EGK-21.zip</v>
      </c>
      <c r="C353" s="8" t="str">
        <f aca="false">HYPERLINK("https://mncourtfraud.com/file/27-CR-20-13495.pdf","27-CR-20-13495")</f>
        <v>27-CR-20-13495</v>
      </c>
      <c r="D353" s="3" t="s">
        <v>879</v>
      </c>
      <c r="E353" s="9" t="n">
        <v>44972</v>
      </c>
      <c r="F353" s="8" t="str">
        <f aca="false">HYPERLINK("https://mncourtfraud.com/file/MCRO_27-CR-20-13495_Finding of Incompetency and Order_2023-02-15_20240430085918.pdf","MCRO_27-CR-20-13495_Finding of Incompetency and Order_2023-02-15_20240430085918.pdf")</f>
        <v>MCRO_27-CR-20-13495_Finding of Incompetency and Order_2023-02-15_20240430085918.pdf</v>
      </c>
      <c r="G353" s="8" t="str">
        <f aca="false">HYPERLINK("https://mncourtfraud.com/file/3fa4ebb8d035a6524a54020a104b79c28b9dd2285f58792553262615ada0e668.png","3fa4ebb8d035a6524a54020a104b79c28b9dd2285f58792553262615ada0e668")</f>
        <v>3fa4ebb8d035a6524a54020a104b79c28b9dd2285f58792553262615ada0e668</v>
      </c>
      <c r="H353" s="1" t="s">
        <v>1460</v>
      </c>
      <c r="I353" s="3" t="s">
        <v>1575</v>
      </c>
      <c r="J353" s="1" t="s">
        <v>1482</v>
      </c>
      <c r="K353" s="3" t="n">
        <v>3825</v>
      </c>
      <c r="L353" s="15" t="s">
        <v>1483</v>
      </c>
      <c r="M353" s="1" t="s">
        <v>1484</v>
      </c>
      <c r="N353" s="9" t="n">
        <v>44972</v>
      </c>
      <c r="O353" s="10" t="s">
        <v>1576</v>
      </c>
      <c r="P353" s="1" t="n">
        <v>1890</v>
      </c>
      <c r="Q353" s="1" t="n">
        <v>150</v>
      </c>
    </row>
    <row r="354" customFormat="false" ht="18.7" hidden="false" customHeight="true" outlineLevel="0" collapsed="false">
      <c r="E354" s="9"/>
      <c r="K354" s="3"/>
      <c r="L354" s="15"/>
      <c r="N354" s="9"/>
      <c r="O354" s="10"/>
      <c r="P354" s="1"/>
      <c r="Q354" s="1"/>
    </row>
    <row r="357" customFormat="false" ht="18.7" hidden="false" customHeight="true" outlineLevel="0" collapsed="false">
      <c r="E357" s="9"/>
      <c r="K357" s="3"/>
      <c r="L357" s="15"/>
      <c r="N357" s="9"/>
      <c r="O357" s="10"/>
      <c r="P357" s="1"/>
      <c r="Q357" s="1"/>
    </row>
    <row r="363" customFormat="false" ht="18.7" hidden="false" customHeight="true" outlineLevel="0" collapsed="false">
      <c r="E363" s="9"/>
      <c r="K363" s="3"/>
      <c r="L363" s="15"/>
      <c r="N363" s="9"/>
      <c r="O363" s="10"/>
      <c r="P363" s="1"/>
      <c r="Q363" s="1"/>
    </row>
    <row r="364" customFormat="false" ht="18.7" hidden="false" customHeight="true" outlineLevel="0" collapsed="false">
      <c r="E364" s="9"/>
      <c r="K364" s="3"/>
      <c r="L364" s="15"/>
      <c r="N364" s="9"/>
      <c r="O364" s="10"/>
      <c r="P364" s="1"/>
      <c r="Q364" s="1"/>
    </row>
    <row r="365" customFormat="false" ht="18.7" hidden="false" customHeight="true" outlineLevel="0" collapsed="false">
      <c r="E365" s="9"/>
      <c r="K365" s="3"/>
      <c r="L365" s="15"/>
      <c r="N365" s="9"/>
      <c r="O365" s="10"/>
      <c r="P365" s="1"/>
      <c r="Q365" s="1"/>
    </row>
    <row r="366" customFormat="false" ht="18.7" hidden="false" customHeight="true" outlineLevel="0" collapsed="false">
      <c r="E366" s="9"/>
      <c r="K366" s="3"/>
      <c r="L366" s="15"/>
      <c r="N366" s="9"/>
      <c r="O366" s="10"/>
      <c r="P366" s="1"/>
      <c r="Q366" s="1"/>
    </row>
    <row r="367" customFormat="false" ht="18.7" hidden="false" customHeight="true" outlineLevel="0" collapsed="false">
      <c r="E367" s="9"/>
      <c r="K367" s="3"/>
      <c r="L367" s="15"/>
      <c r="N367" s="9"/>
      <c r="O367" s="10"/>
      <c r="P367" s="1"/>
      <c r="Q367" s="1"/>
    </row>
    <row r="368" customFormat="false" ht="18.7" hidden="false" customHeight="true" outlineLevel="0" collapsed="false">
      <c r="E368" s="9"/>
      <c r="K368" s="3"/>
      <c r="L368" s="15"/>
      <c r="N368" s="9"/>
      <c r="O368" s="10"/>
      <c r="P368" s="1"/>
      <c r="Q368" s="1"/>
    </row>
    <row r="369" customFormat="false" ht="18.7" hidden="false" customHeight="true" outlineLevel="0" collapsed="false">
      <c r="E369" s="9"/>
      <c r="K369" s="3"/>
      <c r="L369" s="15"/>
      <c r="N369" s="9"/>
      <c r="O369" s="10"/>
      <c r="P369" s="1"/>
      <c r="Q369" s="1"/>
    </row>
    <row r="370" customFormat="false" ht="18.7" hidden="false" customHeight="true" outlineLevel="0" collapsed="false">
      <c r="E370" s="9"/>
      <c r="K370" s="3"/>
      <c r="L370" s="15"/>
      <c r="N370" s="9"/>
      <c r="O370" s="10"/>
      <c r="P370" s="1"/>
      <c r="Q370" s="1"/>
    </row>
    <row r="371" customFormat="false" ht="18.7" hidden="false" customHeight="true" outlineLevel="0" collapsed="false">
      <c r="E371" s="9"/>
      <c r="K371" s="3"/>
      <c r="L371" s="15"/>
      <c r="N371" s="9"/>
      <c r="O371" s="10"/>
      <c r="P371" s="1"/>
      <c r="Q371" s="1"/>
    </row>
    <row r="372" customFormat="false" ht="18.7" hidden="false" customHeight="true" outlineLevel="0" collapsed="false">
      <c r="E372" s="9"/>
      <c r="K372" s="3"/>
      <c r="L372" s="15"/>
      <c r="N372" s="9"/>
      <c r="O372" s="10"/>
      <c r="P372" s="1"/>
      <c r="Q372" s="1"/>
    </row>
    <row r="373" customFormat="false" ht="18.7" hidden="false" customHeight="true" outlineLevel="0" collapsed="false">
      <c r="E373" s="9"/>
      <c r="K373" s="3"/>
      <c r="L373" s="15"/>
      <c r="N373" s="9"/>
      <c r="O373" s="10"/>
      <c r="P373" s="1"/>
      <c r="Q373" s="1"/>
    </row>
    <row r="374" customFormat="false" ht="18.7" hidden="false" customHeight="true" outlineLevel="0" collapsed="false">
      <c r="E374" s="9"/>
      <c r="K374" s="3"/>
      <c r="L374" s="15"/>
      <c r="N374" s="9"/>
      <c r="O374" s="10"/>
      <c r="P374" s="1"/>
      <c r="Q374" s="1"/>
    </row>
    <row r="375" customFormat="false" ht="18.7" hidden="false" customHeight="true" outlineLevel="0" collapsed="false">
      <c r="E375" s="9"/>
      <c r="K375" s="3"/>
      <c r="L375" s="15"/>
      <c r="N375" s="9"/>
      <c r="O375" s="10"/>
      <c r="P375" s="1"/>
      <c r="Q375" s="1"/>
    </row>
    <row r="376" customFormat="false" ht="18.7" hidden="false" customHeight="true" outlineLevel="0" collapsed="false">
      <c r="E376" s="9"/>
      <c r="K376" s="3"/>
      <c r="L376" s="15"/>
      <c r="N376" s="9"/>
      <c r="O376" s="10"/>
      <c r="P376" s="1"/>
      <c r="Q376" s="1"/>
    </row>
    <row r="377" customFormat="false" ht="18.7" hidden="false" customHeight="true" outlineLevel="0" collapsed="false">
      <c r="E377" s="9"/>
      <c r="K377" s="3"/>
      <c r="L377" s="15"/>
      <c r="N377" s="9"/>
      <c r="O377" s="10"/>
      <c r="P377" s="1"/>
      <c r="Q377" s="1"/>
    </row>
    <row r="378" customFormat="false" ht="18.7" hidden="false" customHeight="true" outlineLevel="0" collapsed="false">
      <c r="E378" s="9"/>
      <c r="K378" s="3"/>
      <c r="L378" s="15"/>
      <c r="N378" s="9"/>
      <c r="O378" s="10"/>
      <c r="P378" s="1"/>
      <c r="Q378" s="1"/>
    </row>
    <row r="379" customFormat="false" ht="18.7" hidden="false" customHeight="true" outlineLevel="0" collapsed="false">
      <c r="E379" s="9"/>
      <c r="K379" s="3"/>
      <c r="L379" s="15"/>
      <c r="N379" s="9"/>
      <c r="O379" s="10"/>
      <c r="P379" s="1"/>
      <c r="Q379" s="1"/>
    </row>
    <row r="380" customFormat="false" ht="18.7" hidden="false" customHeight="true" outlineLevel="0" collapsed="false">
      <c r="E380" s="9"/>
      <c r="K380" s="3"/>
      <c r="L380" s="15"/>
      <c r="N380" s="9"/>
      <c r="O380" s="10"/>
      <c r="P380" s="1"/>
      <c r="Q380" s="1"/>
    </row>
    <row r="402" customFormat="false" ht="18.7" hidden="false" customHeight="true" outlineLevel="0" collapsed="false">
      <c r="E402" s="9"/>
      <c r="K402" s="3"/>
      <c r="L402" s="15"/>
      <c r="N402" s="9"/>
      <c r="O402" s="10"/>
      <c r="P402" s="1"/>
      <c r="Q402" s="1"/>
    </row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36" activeCellId="0" sqref="G36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3" width="9.72"/>
    <col collapsed="false" customWidth="true" hidden="false" outlineLevel="0" max="2" min="2" style="2" width="16.81"/>
    <col collapsed="false" customWidth="true" hidden="false" outlineLevel="0" max="3" min="3" style="3" width="21.38"/>
    <col collapsed="false" customWidth="true" hidden="false" outlineLevel="0" max="4" min="4" style="3" width="39.04"/>
    <col collapsed="false" customWidth="true" hidden="false" outlineLevel="0" max="5" min="5" style="1" width="16.2"/>
    <col collapsed="false" customWidth="true" hidden="false" outlineLevel="0" max="6" min="6" style="3" width="81.28"/>
    <col collapsed="false" customWidth="true" hidden="false" outlineLevel="0" max="7" min="7" style="3" width="105.03"/>
    <col collapsed="false" customWidth="true" hidden="false" outlineLevel="0" max="8" min="8" style="1" width="21.81"/>
    <col collapsed="false" customWidth="true" hidden="false" outlineLevel="0" max="9" min="9" style="1" width="18.83"/>
    <col collapsed="false" customWidth="true" hidden="false" outlineLevel="0" max="10" min="10" style="3" width="84.23"/>
    <col collapsed="false" customWidth="true" hidden="false" outlineLevel="0" max="11" min="11" style="1" width="16.39"/>
    <col collapsed="false" customWidth="false" hidden="false" outlineLevel="0" max="1024" min="12" style="4" width="11.52"/>
  </cols>
  <sheetData>
    <row r="1" customFormat="false" ht="23.05" hidden="false" customHeight="true" outlineLevel="0" collapsed="false">
      <c r="A1" s="5" t="s">
        <v>0</v>
      </c>
      <c r="B1" s="12" t="s">
        <v>1</v>
      </c>
      <c r="C1" s="5" t="s">
        <v>2</v>
      </c>
      <c r="D1" s="5" t="s">
        <v>3</v>
      </c>
      <c r="E1" s="5" t="s">
        <v>5</v>
      </c>
      <c r="F1" s="5" t="s">
        <v>4</v>
      </c>
      <c r="G1" s="5" t="s">
        <v>1447</v>
      </c>
      <c r="H1" s="5" t="s">
        <v>1448</v>
      </c>
      <c r="I1" s="5" t="s">
        <v>1266</v>
      </c>
      <c r="J1" s="5" t="s">
        <v>1449</v>
      </c>
      <c r="K1" s="5" t="s">
        <v>1450</v>
      </c>
    </row>
    <row r="2" customFormat="false" ht="18.7" hidden="false" customHeight="true" outlineLevel="0" collapsed="false">
      <c r="A2" s="1" t="n">
        <v>1</v>
      </c>
      <c r="B2" s="7" t="str">
        <f aca="false">HYPERLINK("https://mncourtfraud.com/file/740-E.zip","740-E.zip")</f>
        <v>740-E.zip</v>
      </c>
      <c r="C2" s="8" t="str">
        <f aca="false">HYPERLINK("https://mncourtfraud.com/file/27-CR-21-1977.pdf","27-CR-21-1977")</f>
        <v>27-CR-21-1977</v>
      </c>
      <c r="D2" s="3" t="s">
        <v>775</v>
      </c>
      <c r="E2" s="9" t="n">
        <v>45264</v>
      </c>
      <c r="F2" s="8" t="str">
        <f aca="false">HYPERLINK("https://mncourtfraud.com/file/MCRO_27-CR-21-1977_Returned Mail_2023-12-04_20240430075548.pdf","MCRO_27-CR-21-1977_Returned Mail_2023-12-04_20240430075548.pdf")</f>
        <v>MCRO_27-CR-21-1977_Returned Mail_2023-12-04_20240430075548.pdf</v>
      </c>
      <c r="G2" s="3" t="s">
        <v>1577</v>
      </c>
      <c r="H2" s="1" t="s">
        <v>1452</v>
      </c>
      <c r="I2" s="1" t="s">
        <v>1453</v>
      </c>
      <c r="J2" s="8" t="str">
        <f aca="false">HYPERLINK("https://mncourtfraud.com/file/125cd29454ff91b98d37922d3d300f3168c1e98b7cb15326706d7cee2e270b5a.png","125cd29454ff91b98d37922d3d300f3168c1e98b7cb15326706d7cee2e270b5a")</f>
        <v>125cd29454ff91b98d37922d3d300f3168c1e98b7cb15326706d7cee2e270b5a</v>
      </c>
      <c r="K2" s="1" t="s">
        <v>1460</v>
      </c>
    </row>
    <row r="3" customFormat="false" ht="18.7" hidden="false" customHeight="true" outlineLevel="0" collapsed="false">
      <c r="A3" s="1" t="n">
        <v>2</v>
      </c>
      <c r="B3" s="7" t="str">
        <f aca="false">HYPERLINK("https://mncourtfraud.com/file/740-E.zip","740-E.zip")</f>
        <v>740-E.zip</v>
      </c>
      <c r="C3" s="8" t="str">
        <f aca="false">HYPERLINK("https://mncourtfraud.com/file/27-CR-21-1977.pdf","27-CR-21-1977")</f>
        <v>27-CR-21-1977</v>
      </c>
      <c r="D3" s="3" t="s">
        <v>775</v>
      </c>
      <c r="E3" s="9" t="n">
        <v>44813</v>
      </c>
      <c r="F3" s="8" t="str">
        <f aca="false">HYPERLINK("https://mncourtfraud.com/file/MCRO_27-CR-21-1977_Returned Mail_2022-09-09_20240430075607.pdf","MCRO_27-CR-21-1977_Returned Mail_2022-09-09_20240430075607.pdf")</f>
        <v>MCRO_27-CR-21-1977_Returned Mail_2022-09-09_20240430075607.pdf</v>
      </c>
      <c r="G3" s="3" t="s">
        <v>1461</v>
      </c>
      <c r="H3" s="1" t="s">
        <v>1452</v>
      </c>
      <c r="I3" s="1" t="s">
        <v>1453</v>
      </c>
      <c r="J3" s="8" t="str">
        <f aca="false">HYPERLINK("https://mncourtfraud.com/file/167da825b6231d8fbaca1b02dd1ba170e400936128506a84a11e90fc53f6cd63.jpg","167da825b6231d8fbaca1b02dd1ba170e400936128506a84a11e90fc53f6cd63")</f>
        <v>167da825b6231d8fbaca1b02dd1ba170e400936128506a84a11e90fc53f6cd63</v>
      </c>
      <c r="K3" s="1" t="s">
        <v>1454</v>
      </c>
    </row>
    <row r="4" customFormat="false" ht="18.7" hidden="false" customHeight="true" outlineLevel="0" collapsed="false">
      <c r="A4" s="1" t="n">
        <v>3</v>
      </c>
      <c r="B4" s="7" t="str">
        <f aca="false">HYPERLINK("https://mncourtfraud.com/file/740-E.zip","740-E.zip")</f>
        <v>740-E.zip</v>
      </c>
      <c r="C4" s="8" t="str">
        <f aca="false">HYPERLINK("https://mncourtfraud.com/file/27-CR-21-1978.pdf","27-CR-21-1978")</f>
        <v>27-CR-21-1978</v>
      </c>
      <c r="D4" s="3" t="s">
        <v>775</v>
      </c>
      <c r="E4" s="9" t="n">
        <v>45244</v>
      </c>
      <c r="F4" s="8" t="str">
        <f aca="false">HYPERLINK("https://mncourtfraud.com/file/MCRO_27-CR-21-1978_Returned Mail_2023-11-14_20240430075701.pdf","MCRO_27-CR-21-1978_Returned Mail_2023-11-14_20240430075701.pdf")</f>
        <v>MCRO_27-CR-21-1978_Returned Mail_2023-11-14_20240430075701.pdf</v>
      </c>
      <c r="G4" s="3" t="s">
        <v>1458</v>
      </c>
      <c r="H4" s="1" t="s">
        <v>1452</v>
      </c>
      <c r="I4" s="1" t="s">
        <v>1453</v>
      </c>
      <c r="J4" s="8" t="str">
        <f aca="false">HYPERLINK("https://mncourtfraud.com/file/2c9c8d2443ff00fcef05be9951edf6962472e88d6a7f2e0127265ed4a2bb3b8a.jpg","2c9c8d2443ff00fcef05be9951edf6962472e88d6a7f2e0127265ed4a2bb3b8a")</f>
        <v>2c9c8d2443ff00fcef05be9951edf6962472e88d6a7f2e0127265ed4a2bb3b8a</v>
      </c>
      <c r="K4" s="1" t="s">
        <v>1454</v>
      </c>
    </row>
    <row r="5" customFormat="false" ht="18.7" hidden="false" customHeight="true" outlineLevel="0" collapsed="false">
      <c r="A5" s="1" t="n">
        <v>4</v>
      </c>
      <c r="B5" s="7" t="str">
        <f aca="false">HYPERLINK("https://mncourtfraud.com/file/740-E.zip","740-E.zip")</f>
        <v>740-E.zip</v>
      </c>
      <c r="C5" s="8" t="str">
        <f aca="false">HYPERLINK("https://mncourtfraud.com/file/27-CR-22-20033.pdf","27-CR-22-20033")</f>
        <v>27-CR-22-20033</v>
      </c>
      <c r="D5" s="3" t="s">
        <v>775</v>
      </c>
      <c r="E5" s="9" t="n">
        <v>45244</v>
      </c>
      <c r="F5" s="8" t="str">
        <f aca="false">HYPERLINK("https://mncourtfraud.com/file/MCRO_27-CR-22-20033_Returned Mail_2023-11-14_20240429162642.pdf","MCRO_27-CR-22-20033_Returned Mail_2023-11-14_20240429162642.pdf")</f>
        <v>MCRO_27-CR-22-20033_Returned Mail_2023-11-14_20240429162642.pdf</v>
      </c>
      <c r="G5" s="3" t="s">
        <v>1458</v>
      </c>
      <c r="H5" s="1" t="s">
        <v>1452</v>
      </c>
      <c r="I5" s="1" t="s">
        <v>1453</v>
      </c>
      <c r="J5" s="8" t="str">
        <f aca="false">HYPERLINK("https://mncourtfraud.com/file/2c9c8d2443ff00fcef05be9951edf6962472e88d6a7f2e0127265ed4a2bb3b8a.jpg","2c9c8d2443ff00fcef05be9951edf6962472e88d6a7f2e0127265ed4a2bb3b8a")</f>
        <v>2c9c8d2443ff00fcef05be9951edf6962472e88d6a7f2e0127265ed4a2bb3b8a</v>
      </c>
      <c r="K5" s="1" t="s">
        <v>1454</v>
      </c>
    </row>
    <row r="6" customFormat="false" ht="18.7" hidden="false" customHeight="true" outlineLevel="0" collapsed="false">
      <c r="A6" s="1" t="n">
        <v>5</v>
      </c>
      <c r="B6" s="7" t="str">
        <f aca="false">HYPERLINK("https://mncourtfraud.com/file/740-E.zip","740-E.zip")</f>
        <v>740-E.zip</v>
      </c>
      <c r="C6" s="8" t="str">
        <f aca="false">HYPERLINK("https://mncourtfraud.com/file/27-CR-22-20033.pdf","27-CR-22-20033")</f>
        <v>27-CR-22-20033</v>
      </c>
      <c r="D6" s="3" t="s">
        <v>775</v>
      </c>
      <c r="E6" s="9" t="n">
        <v>45064</v>
      </c>
      <c r="F6" s="8" t="str">
        <f aca="false">HYPERLINK("https://mncourtfraud.com/file/MCRO_27-CR-22-20033_Returned Mail_2023-05-18_20240429162650.pdf","MCRO_27-CR-22-20033_Returned Mail_2023-05-18_20240429162650.pdf")</f>
        <v>MCRO_27-CR-22-20033_Returned Mail_2023-05-18_20240429162650.pdf</v>
      </c>
      <c r="G6" s="3" t="s">
        <v>1578</v>
      </c>
      <c r="H6" s="1" t="s">
        <v>1452</v>
      </c>
      <c r="I6" s="1" t="s">
        <v>1453</v>
      </c>
      <c r="J6" s="8" t="str">
        <f aca="false">HYPERLINK("https://mncourtfraud.com/file/2ce94218b1ec62ca844277a23077744e6d64c0209271ac4908c840d365823916.jpg","2ce94218b1ec62ca844277a23077744e6d64c0209271ac4908c840d365823916")</f>
        <v>2ce94218b1ec62ca844277a23077744e6d64c0209271ac4908c840d365823916</v>
      </c>
      <c r="K6" s="1" t="s">
        <v>1454</v>
      </c>
    </row>
    <row r="7" customFormat="false" ht="18.7" hidden="false" customHeight="true" outlineLevel="0" collapsed="false">
      <c r="A7" s="1" t="n">
        <v>6</v>
      </c>
      <c r="B7" s="7" t="str">
        <f aca="false">HYPERLINK("https://mncourtfraud.com/file/740-E.zip","740-E.zip")</f>
        <v>740-E.zip</v>
      </c>
      <c r="C7" s="8" t="str">
        <f aca="false">HYPERLINK("https://mncourtfraud.com/file/27-CR-21-1977.pdf","27-CR-21-1977")</f>
        <v>27-CR-21-1977</v>
      </c>
      <c r="D7" s="3" t="s">
        <v>775</v>
      </c>
      <c r="E7" s="9" t="n">
        <v>45055</v>
      </c>
      <c r="F7" s="8" t="str">
        <f aca="false">HYPERLINK("https://mncourtfraud.com/file/MCRO_27-CR-21-1977_Returned Mail_2023-05-09_20240430075559.pdf","MCRO_27-CR-21-1977_Returned Mail_2023-05-09_20240430075559.pdf")</f>
        <v>MCRO_27-CR-21-1977_Returned Mail_2023-05-09_20240430075559.pdf</v>
      </c>
      <c r="G7" s="3" t="s">
        <v>1578</v>
      </c>
      <c r="H7" s="1" t="s">
        <v>1452</v>
      </c>
      <c r="I7" s="1" t="s">
        <v>1453</v>
      </c>
      <c r="J7" s="8" t="str">
        <f aca="false">HYPERLINK("https://mncourtfraud.com/file/33b68100c8b473536e9c2158bf75832910f19858c06a459ea9fbd186e7943637.jpg","33b68100c8b473536e9c2158bf75832910f19858c06a459ea9fbd186e7943637")</f>
        <v>33b68100c8b473536e9c2158bf75832910f19858c06a459ea9fbd186e7943637</v>
      </c>
      <c r="K7" s="1" t="s">
        <v>1454</v>
      </c>
    </row>
    <row r="8" customFormat="false" ht="18.7" hidden="false" customHeight="true" outlineLevel="0" collapsed="false">
      <c r="A8" s="1" t="n">
        <v>7</v>
      </c>
      <c r="B8" s="7" t="str">
        <f aca="false">HYPERLINK("https://mncourtfraud.com/file/740-E.zip","740-E.zip")</f>
        <v>740-E.zip</v>
      </c>
      <c r="C8" s="8" t="str">
        <f aca="false">HYPERLINK("https://mncourtfraud.com/file/27-CR-21-1977.pdf","27-CR-21-1977")</f>
        <v>27-CR-21-1977</v>
      </c>
      <c r="D8" s="3" t="s">
        <v>775</v>
      </c>
      <c r="E8" s="9" t="n">
        <v>45244</v>
      </c>
      <c r="F8" s="8" t="str">
        <f aca="false">HYPERLINK("https://mncourtfraud.com/file/MCRO_27-CR-21-1977_Returned Mail_2023-11-14_20240430075549.pdf","MCRO_27-CR-21-1977_Returned Mail_2023-11-14_20240430075549.pdf")</f>
        <v>MCRO_27-CR-21-1977_Returned Mail_2023-11-14_20240430075549.pdf</v>
      </c>
      <c r="G8" s="3" t="s">
        <v>1579</v>
      </c>
      <c r="H8" s="1" t="s">
        <v>1452</v>
      </c>
      <c r="I8" s="1" t="s">
        <v>1453</v>
      </c>
      <c r="J8" s="8" t="str">
        <f aca="false">HYPERLINK("https://mncourtfraud.com/file/44530541a2220618a131768e0254761482c89bc41cb27076d25de0f7728469d6.jpg","44530541a2220618a131768e0254761482c89bc41cb27076d25de0f7728469d6")</f>
        <v>44530541a2220618a131768e0254761482c89bc41cb27076d25de0f7728469d6</v>
      </c>
      <c r="K8" s="1" t="s">
        <v>1454</v>
      </c>
    </row>
    <row r="9" customFormat="false" ht="18.7" hidden="false" customHeight="true" outlineLevel="0" collapsed="false">
      <c r="A9" s="1" t="n">
        <v>8</v>
      </c>
      <c r="B9" s="7" t="str">
        <f aca="false">HYPERLINK("https://mncourtfraud.com/file/740-E.zip","740-E.zip")</f>
        <v>740-E.zip</v>
      </c>
      <c r="C9" s="8" t="str">
        <f aca="false">HYPERLINK("https://mncourtfraud.com/file/27-CR-21-1977.pdf","27-CR-21-1977")</f>
        <v>27-CR-21-1977</v>
      </c>
      <c r="D9" s="3" t="s">
        <v>775</v>
      </c>
      <c r="E9" s="9" t="n">
        <v>44678</v>
      </c>
      <c r="F9" s="8" t="str">
        <f aca="false">HYPERLINK("https://mncourtfraud.com/file/MCRO_27-CR-21-1977_Returned Mail_2022-04-27_20240430075612.pdf","MCRO_27-CR-21-1977_Returned Mail_2022-04-27_20240430075612.pdf")</f>
        <v>MCRO_27-CR-21-1977_Returned Mail_2022-04-27_20240430075612.pdf</v>
      </c>
      <c r="G9" s="3" t="s">
        <v>1459</v>
      </c>
      <c r="H9" s="1" t="s">
        <v>1452</v>
      </c>
      <c r="I9" s="1" t="s">
        <v>1453</v>
      </c>
      <c r="J9" s="8" t="str">
        <f aca="false">HYPERLINK("https://mncourtfraud.com/file/56476cefdab67adb3f158c323d8c8b01b0530c83d9670fb9e973abfdb041181c.png","56476cefdab67adb3f158c323d8c8b01b0530c83d9670fb9e973abfdb041181c")</f>
        <v>56476cefdab67adb3f158c323d8c8b01b0530c83d9670fb9e973abfdb041181c</v>
      </c>
      <c r="K9" s="1" t="s">
        <v>1460</v>
      </c>
    </row>
    <row r="10" customFormat="false" ht="18.7" hidden="false" customHeight="true" outlineLevel="0" collapsed="false">
      <c r="A10" s="1" t="n">
        <v>9</v>
      </c>
      <c r="B10" s="7" t="str">
        <f aca="false">HYPERLINK("https://mncourtfraud.com/file/740-E.zip","740-E.zip")</f>
        <v>740-E.zip</v>
      </c>
      <c r="C10" s="8" t="str">
        <f aca="false">HYPERLINK("https://mncourtfraud.com/file/27-CR-21-1978.pdf","27-CR-21-1978")</f>
        <v>27-CR-21-1978</v>
      </c>
      <c r="D10" s="3" t="s">
        <v>775</v>
      </c>
      <c r="E10" s="9" t="n">
        <v>44678</v>
      </c>
      <c r="F10" s="8" t="str">
        <f aca="false">HYPERLINK("https://mncourtfraud.com/file/MCRO_27-CR-21-1978_Returned Mail_2022-04-27_20240430075723.pdf","MCRO_27-CR-21-1978_Returned Mail_2022-04-27_20240430075723.pdf")</f>
        <v>MCRO_27-CR-21-1978_Returned Mail_2022-04-27_20240430075723.pdf</v>
      </c>
      <c r="G10" s="3" t="s">
        <v>1459</v>
      </c>
      <c r="H10" s="1" t="s">
        <v>1452</v>
      </c>
      <c r="I10" s="1" t="s">
        <v>1453</v>
      </c>
      <c r="J10" s="8" t="str">
        <f aca="false">HYPERLINK("https://mncourtfraud.com/file/56476cefdab67adb3f158c323d8c8b01b0530c83d9670fb9e973abfdb041181c.png","56476cefdab67adb3f158c323d8c8b01b0530c83d9670fb9e973abfdb041181c")</f>
        <v>56476cefdab67adb3f158c323d8c8b01b0530c83d9670fb9e973abfdb041181c</v>
      </c>
      <c r="K10" s="1" t="s">
        <v>1460</v>
      </c>
    </row>
    <row r="11" customFormat="false" ht="18.7" hidden="false" customHeight="true" outlineLevel="0" collapsed="false">
      <c r="A11" s="1" t="n">
        <v>10</v>
      </c>
      <c r="B11" s="7" t="str">
        <f aca="false">HYPERLINK("https://mncourtfraud.com/file/740-E.zip","740-E.zip")</f>
        <v>740-E.zip</v>
      </c>
      <c r="C11" s="8" t="str">
        <f aca="false">HYPERLINK("https://mncourtfraud.com/file/27-CR-22-20033.pdf","27-CR-22-20033")</f>
        <v>27-CR-22-20033</v>
      </c>
      <c r="D11" s="3" t="s">
        <v>775</v>
      </c>
      <c r="E11" s="9" t="n">
        <v>45264</v>
      </c>
      <c r="F11" s="8" t="str">
        <f aca="false">HYPERLINK("https://mncourtfraud.com/file/MCRO_27-CR-22-20033_Returned Mail_2023-12-04_20240429162640.pdf","MCRO_27-CR-22-20033_Returned Mail_2023-12-04_20240429162640.pdf")</f>
        <v>MCRO_27-CR-22-20033_Returned Mail_2023-12-04_20240429162640.pdf</v>
      </c>
      <c r="G11" s="3" t="s">
        <v>1577</v>
      </c>
      <c r="H11" s="1" t="s">
        <v>1452</v>
      </c>
      <c r="I11" s="1" t="s">
        <v>1453</v>
      </c>
      <c r="J11" s="8" t="str">
        <f aca="false">HYPERLINK("https://mncourtfraud.com/file/64643ce22f3e2cb4a0030d7662c516aad6c1608df550a736f5a270e29b4f3750.png","64643ce22f3e2cb4a0030d7662c516aad6c1608df550a736f5a270e29b4f3750")</f>
        <v>64643ce22f3e2cb4a0030d7662c516aad6c1608df550a736f5a270e29b4f3750</v>
      </c>
      <c r="K11" s="1" t="s">
        <v>1460</v>
      </c>
    </row>
    <row r="12" customFormat="false" ht="18.7" hidden="false" customHeight="true" outlineLevel="0" collapsed="false">
      <c r="A12" s="1" t="n">
        <v>11</v>
      </c>
      <c r="B12" s="7" t="str">
        <f aca="false">HYPERLINK("https://mncourtfraud.com/file/740-E.zip","740-E.zip")</f>
        <v>740-E.zip</v>
      </c>
      <c r="C12" s="8" t="str">
        <f aca="false">HYPERLINK("https://mncourtfraud.com/file/27-CR-21-1978.pdf","27-CR-21-1978")</f>
        <v>27-CR-21-1978</v>
      </c>
      <c r="D12" s="3" t="s">
        <v>775</v>
      </c>
      <c r="E12" s="9" t="n">
        <v>44813</v>
      </c>
      <c r="F12" s="8" t="str">
        <f aca="false">HYPERLINK("https://mncourtfraud.com/file/MCRO_27-CR-21-1978_Returned Mail_2022-09-09_20240430075719.pdf","MCRO_27-CR-21-1978_Returned Mail_2022-09-09_20240430075719.pdf")</f>
        <v>MCRO_27-CR-21-1978_Returned Mail_2022-09-09_20240430075719.pdf</v>
      </c>
      <c r="G12" s="3" t="s">
        <v>1461</v>
      </c>
      <c r="H12" s="1" t="s">
        <v>1452</v>
      </c>
      <c r="I12" s="1" t="s">
        <v>1453</v>
      </c>
      <c r="J12" s="8" t="str">
        <f aca="false">HYPERLINK("https://mncourtfraud.com/file/6e3a1ab7aca7782916d3dbd50b1aa3f353665a7bb1fa0cc70fb1372a914308ea.jpg","6e3a1ab7aca7782916d3dbd50b1aa3f353665a7bb1fa0cc70fb1372a914308ea")</f>
        <v>6e3a1ab7aca7782916d3dbd50b1aa3f353665a7bb1fa0cc70fb1372a914308ea</v>
      </c>
      <c r="K12" s="1" t="s">
        <v>1454</v>
      </c>
    </row>
    <row r="13" customFormat="false" ht="18.7" hidden="false" customHeight="true" outlineLevel="0" collapsed="false">
      <c r="A13" s="1" t="n">
        <v>12</v>
      </c>
      <c r="B13" s="7" t="str">
        <f aca="false">HYPERLINK("https://mncourtfraud.com/file/740-E.zip","740-E.zip")</f>
        <v>740-E.zip</v>
      </c>
      <c r="C13" s="8" t="str">
        <f aca="false">HYPERLINK("https://mncourtfraud.com/file/27-CR-21-1977.pdf","27-CR-21-1977")</f>
        <v>27-CR-21-1977</v>
      </c>
      <c r="D13" s="3" t="s">
        <v>775</v>
      </c>
      <c r="E13" s="9" t="n">
        <v>44777</v>
      </c>
      <c r="F13" s="8" t="str">
        <f aca="false">HYPERLINK("https://mncourtfraud.com/file/MCRO_27-CR-21-1977_Returned Mail_2022-08-04_20240430075610.pdf","MCRO_27-CR-21-1977_Returned Mail_2022-08-04_20240430075610.pdf")</f>
        <v>MCRO_27-CR-21-1977_Returned Mail_2022-08-04_20240430075610.pdf</v>
      </c>
      <c r="G13" s="3" t="s">
        <v>1462</v>
      </c>
      <c r="H13" s="1" t="s">
        <v>1452</v>
      </c>
      <c r="I13" s="1" t="s">
        <v>1453</v>
      </c>
      <c r="J13" s="8" t="str">
        <f aca="false">HYPERLINK("https://mncourtfraud.com/file/72bfdb856e92e6e60e585e49c3fcd9b304cc73bd5698fb461218cfb497f4c679.jpg","72bfdb856e92e6e60e585e49c3fcd9b304cc73bd5698fb461218cfb497f4c679")</f>
        <v>72bfdb856e92e6e60e585e49c3fcd9b304cc73bd5698fb461218cfb497f4c679</v>
      </c>
      <c r="K13" s="1" t="s">
        <v>1454</v>
      </c>
    </row>
    <row r="14" customFormat="false" ht="18.7" hidden="false" customHeight="true" outlineLevel="0" collapsed="false">
      <c r="A14" s="1" t="n">
        <v>13</v>
      </c>
      <c r="B14" s="7" t="str">
        <f aca="false">HYPERLINK("https://mncourtfraud.com/file/740-E.zip","740-E.zip")</f>
        <v>740-E.zip</v>
      </c>
      <c r="C14" s="8" t="str">
        <f aca="false">HYPERLINK("https://mncourtfraud.com/file/27-CR-21-1977.pdf","27-CR-21-1977")</f>
        <v>27-CR-21-1977</v>
      </c>
      <c r="D14" s="3" t="s">
        <v>775</v>
      </c>
      <c r="E14" s="9" t="n">
        <v>45064</v>
      </c>
      <c r="F14" s="8" t="str">
        <f aca="false">HYPERLINK("https://mncourtfraud.com/file/MCRO_27-CR-21-1977_Returned Mail_2023-05-18_20240430075557.pdf","MCRO_27-CR-21-1977_Returned Mail_2023-05-18_20240430075557.pdf")</f>
        <v>MCRO_27-CR-21-1977_Returned Mail_2023-05-18_20240430075557.pdf</v>
      </c>
      <c r="G14" s="3" t="s">
        <v>1456</v>
      </c>
      <c r="H14" s="1" t="s">
        <v>1452</v>
      </c>
      <c r="I14" s="1" t="s">
        <v>1453</v>
      </c>
      <c r="J14" s="8" t="str">
        <f aca="false">HYPERLINK("https://mncourtfraud.com/file/79184e172406b6b27a0405baab264c1ddf92f2abe1189db35b339f72cacdfc60.jpg","79184e172406b6b27a0405baab264c1ddf92f2abe1189db35b339f72cacdfc60")</f>
        <v>79184e172406b6b27a0405baab264c1ddf92f2abe1189db35b339f72cacdfc60</v>
      </c>
      <c r="K14" s="1" t="s">
        <v>1454</v>
      </c>
    </row>
    <row r="15" customFormat="false" ht="18.7" hidden="false" customHeight="true" outlineLevel="0" collapsed="false">
      <c r="A15" s="1" t="n">
        <v>14</v>
      </c>
      <c r="B15" s="7" t="str">
        <f aca="false">HYPERLINK("https://mncourtfraud.com/file/740-E.zip","740-E.zip")</f>
        <v>740-E.zip</v>
      </c>
      <c r="C15" s="8" t="str">
        <f aca="false">HYPERLINK("https://mncourtfraud.com/file/27-CR-21-1978.pdf","27-CR-21-1978")</f>
        <v>27-CR-21-1978</v>
      </c>
      <c r="D15" s="3" t="s">
        <v>775</v>
      </c>
      <c r="E15" s="9" t="n">
        <v>45064</v>
      </c>
      <c r="F15" s="8" t="str">
        <f aca="false">HYPERLINK("https://mncourtfraud.com/file/MCRO_27-CR-21-1978_Returned Mail_2023-05-18_20240430075710.pdf","MCRO_27-CR-21-1978_Returned Mail_2023-05-18_20240430075710.pdf")</f>
        <v>MCRO_27-CR-21-1978_Returned Mail_2023-05-18_20240430075710.pdf</v>
      </c>
      <c r="G15" s="3" t="s">
        <v>1456</v>
      </c>
      <c r="H15" s="1" t="s">
        <v>1452</v>
      </c>
      <c r="I15" s="1" t="s">
        <v>1453</v>
      </c>
      <c r="J15" s="8" t="str">
        <f aca="false">HYPERLINK("https://mncourtfraud.com/file/79184e172406b6b27a0405baab264c1ddf92f2abe1189db35b339f72cacdfc60.jpg","79184e172406b6b27a0405baab264c1ddf92f2abe1189db35b339f72cacdfc60")</f>
        <v>79184e172406b6b27a0405baab264c1ddf92f2abe1189db35b339f72cacdfc60</v>
      </c>
      <c r="K15" s="1" t="s">
        <v>1454</v>
      </c>
    </row>
    <row r="16" customFormat="false" ht="18.7" hidden="false" customHeight="true" outlineLevel="0" collapsed="false">
      <c r="A16" s="1" t="n">
        <v>15</v>
      </c>
      <c r="B16" s="7" t="str">
        <f aca="false">HYPERLINK("https://mncourtfraud.com/file/740-E.zip","740-E.zip")</f>
        <v>740-E.zip</v>
      </c>
      <c r="C16" s="8" t="str">
        <f aca="false">HYPERLINK("https://mncourtfraud.com/file/27-CR-21-1977.pdf","27-CR-21-1977")</f>
        <v>27-CR-21-1977</v>
      </c>
      <c r="D16" s="3" t="s">
        <v>775</v>
      </c>
      <c r="E16" s="9" t="n">
        <v>44866</v>
      </c>
      <c r="F16" s="8" t="str">
        <f aca="false">HYPERLINK("https://mncourtfraud.com/file/MCRO_27-CR-21-1977_Returned Mail_2022-11-01_20240430075603.pdf","MCRO_27-CR-21-1977_Returned Mail_2022-11-01_20240430075603.pdf")</f>
        <v>MCRO_27-CR-21-1977_Returned Mail_2022-11-01_20240430075603.pdf</v>
      </c>
      <c r="G16" s="3" t="s">
        <v>1462</v>
      </c>
      <c r="H16" s="1" t="s">
        <v>1452</v>
      </c>
      <c r="I16" s="1" t="s">
        <v>1453</v>
      </c>
      <c r="J16" s="8" t="str">
        <f aca="false">HYPERLINK("https://mncourtfraud.com/file/859b5ee5182f83d9cd32e6ddbaf24ffc4f6cdf7485437fbc735d0cd17e4a878b.jpg","859b5ee5182f83d9cd32e6ddbaf24ffc4f6cdf7485437fbc735d0cd17e4a878b")</f>
        <v>859b5ee5182f83d9cd32e6ddbaf24ffc4f6cdf7485437fbc735d0cd17e4a878b</v>
      </c>
      <c r="K16" s="1" t="s">
        <v>1454</v>
      </c>
    </row>
    <row r="17" customFormat="false" ht="18.7" hidden="false" customHeight="true" outlineLevel="0" collapsed="false">
      <c r="A17" s="1" t="n">
        <v>16</v>
      </c>
      <c r="B17" s="7" t="str">
        <f aca="false">HYPERLINK("https://mncourtfraud.com/file/740-E.zip","740-E.zip")</f>
        <v>740-E.zip</v>
      </c>
      <c r="C17" s="8" t="str">
        <f aca="false">HYPERLINK("https://mncourtfraud.com/file/27-CR-21-1978.pdf","27-CR-21-1978")</f>
        <v>27-CR-21-1978</v>
      </c>
      <c r="D17" s="3" t="s">
        <v>775</v>
      </c>
      <c r="E17" s="9" t="n">
        <v>44866</v>
      </c>
      <c r="F17" s="8" t="str">
        <f aca="false">HYPERLINK("https://mncourtfraud.com/file/MCRO_27-CR-21-1978_Returned Mail_2022-11-01_20240430075714.pdf","MCRO_27-CR-21-1978_Returned Mail_2022-11-01_20240430075714.pdf")</f>
        <v>MCRO_27-CR-21-1978_Returned Mail_2022-11-01_20240430075714.pdf</v>
      </c>
      <c r="G17" s="3" t="s">
        <v>1462</v>
      </c>
      <c r="H17" s="1" t="s">
        <v>1452</v>
      </c>
      <c r="I17" s="1" t="s">
        <v>1453</v>
      </c>
      <c r="J17" s="8" t="str">
        <f aca="false">HYPERLINK("https://mncourtfraud.com/file/859b5ee5182f83d9cd32e6ddbaf24ffc4f6cdf7485437fbc735d0cd17e4a878b.jpg","859b5ee5182f83d9cd32e6ddbaf24ffc4f6cdf7485437fbc735d0cd17e4a878b")</f>
        <v>859b5ee5182f83d9cd32e6ddbaf24ffc4f6cdf7485437fbc735d0cd17e4a878b</v>
      </c>
      <c r="K17" s="1" t="s">
        <v>1454</v>
      </c>
    </row>
    <row r="18" customFormat="false" ht="18.7" hidden="false" customHeight="true" outlineLevel="0" collapsed="false">
      <c r="A18" s="1" t="n">
        <v>17</v>
      </c>
      <c r="B18" s="7" t="str">
        <f aca="false">HYPERLINK("https://mncourtfraud.com/file/740-E.zip","740-E.zip")</f>
        <v>740-E.zip</v>
      </c>
      <c r="C18" s="8" t="str">
        <f aca="false">HYPERLINK("https://mncourtfraud.com/file/27-CR-21-1978.pdf","27-CR-21-1978")</f>
        <v>27-CR-21-1978</v>
      </c>
      <c r="D18" s="3" t="s">
        <v>775</v>
      </c>
      <c r="E18" s="9" t="n">
        <v>45210</v>
      </c>
      <c r="F18" s="8" t="str">
        <f aca="false">HYPERLINK("https://mncourtfraud.com/file/MCRO_27-CR-21-1978_Returned Mail_2023-10-11_20240430075706.pdf","MCRO_27-CR-21-1978_Returned Mail_2023-10-11_20240430075706.pdf")</f>
        <v>MCRO_27-CR-21-1978_Returned Mail_2023-10-11_20240430075706.pdf</v>
      </c>
      <c r="G18" s="3" t="s">
        <v>1457</v>
      </c>
      <c r="H18" s="1" t="s">
        <v>1452</v>
      </c>
      <c r="I18" s="1" t="s">
        <v>1453</v>
      </c>
      <c r="J18" s="8" t="str">
        <f aca="false">HYPERLINK("https://mncourtfraud.com/file/90825652d6eff34856c80743e8a537ab9b3579645ede0ddc68faa48a68e36d1f.jpg","90825652d6eff34856c80743e8a537ab9b3579645ede0ddc68faa48a68e36d1f")</f>
        <v>90825652d6eff34856c80743e8a537ab9b3579645ede0ddc68faa48a68e36d1f</v>
      </c>
      <c r="K18" s="1" t="s">
        <v>1454</v>
      </c>
    </row>
    <row r="19" customFormat="false" ht="18.7" hidden="false" customHeight="true" outlineLevel="0" collapsed="false">
      <c r="A19" s="1" t="n">
        <v>18</v>
      </c>
      <c r="B19" s="7" t="str">
        <f aca="false">HYPERLINK("https://mncourtfraud.com/file/740-E.zip","740-E.zip")</f>
        <v>740-E.zip</v>
      </c>
      <c r="C19" s="8" t="str">
        <f aca="false">HYPERLINK("https://mncourtfraud.com/file/27-CR-22-20033.pdf","27-CR-22-20033")</f>
        <v>27-CR-22-20033</v>
      </c>
      <c r="D19" s="3" t="s">
        <v>775</v>
      </c>
      <c r="E19" s="9" t="n">
        <v>45210</v>
      </c>
      <c r="F19" s="8" t="str">
        <f aca="false">HYPERLINK("https://mncourtfraud.com/file/MCRO_27-CR-22-20033_Returned Mail_2023-10-11_20240429162646.pdf","MCRO_27-CR-22-20033_Returned Mail_2023-10-11_20240429162646.pdf")</f>
        <v>MCRO_27-CR-22-20033_Returned Mail_2023-10-11_20240429162646.pdf</v>
      </c>
      <c r="G19" s="3" t="s">
        <v>1457</v>
      </c>
      <c r="H19" s="1" t="s">
        <v>1452</v>
      </c>
      <c r="I19" s="1" t="s">
        <v>1453</v>
      </c>
      <c r="J19" s="8" t="str">
        <f aca="false">HYPERLINK("https://mncourtfraud.com/file/90825652d6eff34856c80743e8a537ab9b3579645ede0ddc68faa48a68e36d1f.jpg","90825652d6eff34856c80743e8a537ab9b3579645ede0ddc68faa48a68e36d1f")</f>
        <v>90825652d6eff34856c80743e8a537ab9b3579645ede0ddc68faa48a68e36d1f</v>
      </c>
      <c r="K19" s="1" t="s">
        <v>1454</v>
      </c>
    </row>
    <row r="20" customFormat="false" ht="18.7" hidden="false" customHeight="true" outlineLevel="0" collapsed="false">
      <c r="A20" s="1" t="n">
        <v>19</v>
      </c>
      <c r="B20" s="7" t="str">
        <f aca="false">HYPERLINK("https://mncourtfraud.com/file/740-E.zip","740-E.zip")</f>
        <v>740-E.zip</v>
      </c>
      <c r="C20" s="8" t="str">
        <f aca="false">HYPERLINK("https://mncourtfraud.com/file/27-CR-21-1977.pdf","27-CR-21-1977")</f>
        <v>27-CR-21-1977</v>
      </c>
      <c r="D20" s="3" t="s">
        <v>775</v>
      </c>
      <c r="E20" s="9" t="n">
        <v>44281</v>
      </c>
      <c r="F20" s="8" t="str">
        <f aca="false">HYPERLINK("https://mncourtfraud.com/file/MCRO_27-CR-21-1977_Returned Mail_2021-03-26_20240430075629.pdf","MCRO_27-CR-21-1977_Returned Mail_2021-03-26_20240430075629.pdf")</f>
        <v>MCRO_27-CR-21-1977_Returned Mail_2021-03-26_20240430075629.pdf</v>
      </c>
      <c r="G20" s="3" t="s">
        <v>1580</v>
      </c>
      <c r="H20" s="1" t="s">
        <v>1452</v>
      </c>
      <c r="I20" s="1" t="s">
        <v>1453</v>
      </c>
      <c r="J20" s="8" t="str">
        <f aca="false">HYPERLINK("https://mncourtfraud.com/file/90da1c93c627ce8151bc6566ff8d2092cbd1d6a9f2414e02b911ebecd98fb60a.png","90da1c93c627ce8151bc6566ff8d2092cbd1d6a9f2414e02b911ebecd98fb60a")</f>
        <v>90da1c93c627ce8151bc6566ff8d2092cbd1d6a9f2414e02b911ebecd98fb60a</v>
      </c>
      <c r="K20" s="1" t="s">
        <v>1460</v>
      </c>
    </row>
    <row r="21" customFormat="false" ht="18.7" hidden="false" customHeight="true" outlineLevel="0" collapsed="false">
      <c r="A21" s="1" t="n">
        <v>20</v>
      </c>
      <c r="B21" s="7" t="str">
        <f aca="false">HYPERLINK("https://mncourtfraud.com/file/740-E.zip","740-E.zip")</f>
        <v>740-E.zip</v>
      </c>
      <c r="C21" s="8" t="str">
        <f aca="false">HYPERLINK("https://mncourtfraud.com/file/27-CR-21-1977.pdf","27-CR-21-1977")</f>
        <v>27-CR-21-1977</v>
      </c>
      <c r="D21" s="3" t="s">
        <v>775</v>
      </c>
      <c r="E21" s="9" t="n">
        <v>45210</v>
      </c>
      <c r="F21" s="8" t="str">
        <f aca="false">HYPERLINK("https://mncourtfraud.com/file/MCRO_27-CR-21-1977_Returned Mail_2023-10-11_20240430075553.pdf","MCRO_27-CR-21-1977_Returned Mail_2023-10-11_20240430075553.pdf")</f>
        <v>MCRO_27-CR-21-1977_Returned Mail_2023-10-11_20240430075553.pdf</v>
      </c>
      <c r="G21" s="3" t="s">
        <v>1581</v>
      </c>
      <c r="H21" s="1" t="s">
        <v>1452</v>
      </c>
      <c r="I21" s="1" t="s">
        <v>1453</v>
      </c>
      <c r="J21" s="8" t="str">
        <f aca="false">HYPERLINK("https://mncourtfraud.com/file/ecb2ff3ed521fc933a0906bb0671b24f23926e264c2390cd12c67892af53722c.jpg","ecb2ff3ed521fc933a0906bb0671b24f23926e264c2390cd12c67892af53722c")</f>
        <v>ecb2ff3ed521fc933a0906bb0671b24f23926e264c2390cd12c67892af53722c</v>
      </c>
      <c r="K21" s="1" t="s">
        <v>1454</v>
      </c>
    </row>
    <row r="22" customFormat="false" ht="18.7" hidden="false" customHeight="true" outlineLevel="0" collapsed="false">
      <c r="A22" s="1" t="n">
        <v>21</v>
      </c>
      <c r="B22" s="7" t="str">
        <f aca="false">HYPERLINK("https://mncourtfraud.com/file/740-E.zip","740-E.zip")</f>
        <v>740-E.zip</v>
      </c>
      <c r="C22" s="8" t="str">
        <f aca="false">HYPERLINK("https://mncourtfraud.com/file/27-CR-21-1978.pdf","27-CR-21-1978")</f>
        <v>27-CR-21-1978</v>
      </c>
      <c r="D22" s="3" t="s">
        <v>775</v>
      </c>
      <c r="E22" s="9" t="n">
        <v>45264</v>
      </c>
      <c r="F22" s="8" t="str">
        <f aca="false">HYPERLINK("https://mncourtfraud.com/file/MCRO_27-CR-21-1978_Returned Mail_2023-12-04_20240430075700.pdf","MCRO_27-CR-21-1978_Returned Mail_2023-12-04_20240430075700.pdf")</f>
        <v>MCRO_27-CR-21-1978_Returned Mail_2023-12-04_20240430075700.pdf</v>
      </c>
      <c r="G22" s="3" t="s">
        <v>1577</v>
      </c>
      <c r="H22" s="1" t="s">
        <v>1452</v>
      </c>
      <c r="I22" s="1" t="s">
        <v>1453</v>
      </c>
      <c r="J22" s="8" t="str">
        <f aca="false">HYPERLINK("https://mncourtfraud.com/file/f4d0ad3400c3cd5787ccf5ea8577d3da779336acda779f17f57ae5f3ba791766.png","f4d0ad3400c3cd5787ccf5ea8577d3da779336acda779f17f57ae5f3ba791766")</f>
        <v>f4d0ad3400c3cd5787ccf5ea8577d3da779336acda779f17f57ae5f3ba791766</v>
      </c>
      <c r="K22" s="1" t="s">
        <v>1460</v>
      </c>
    </row>
    <row r="23" customFormat="false" ht="18.7" hidden="false" customHeight="true" outlineLevel="0" collapsed="false">
      <c r="A23" s="1" t="n">
        <v>22</v>
      </c>
      <c r="E23" s="9"/>
    </row>
    <row r="24" customFormat="false" ht="18.7" hidden="false" customHeight="true" outlineLevel="0" collapsed="false">
      <c r="A24" s="1" t="n">
        <v>23</v>
      </c>
      <c r="B24" s="7" t="str">
        <f aca="false">HYPERLINK("https://mncourtfraud.com/file/740-E.zip","740-E.zip")</f>
        <v>740-E.zip</v>
      </c>
      <c r="C24" s="8" t="str">
        <f aca="false">HYPERLINK("https://mncourtfraud.com/file/27-CR-20-3244.pdf","27-CR-20-3244")</f>
        <v>27-CR-20-3244</v>
      </c>
      <c r="D24" s="3" t="s">
        <v>796</v>
      </c>
      <c r="E24" s="9" t="n">
        <v>45244</v>
      </c>
      <c r="F24" s="8" t="str">
        <f aca="false">HYPERLINK("https://mncourtfraud.com/file/MCRO_27-CR-20-3244_Returned Mail_2023-11-14_20240430084959.pdf","MCRO_27-CR-20-3244_Returned Mail_2023-11-14_20240430084959.pdf")</f>
        <v>MCRO_27-CR-20-3244_Returned Mail_2023-11-14_20240430084959.pdf</v>
      </c>
      <c r="G24" s="3" t="s">
        <v>1458</v>
      </c>
      <c r="H24" s="1" t="s">
        <v>1452</v>
      </c>
      <c r="I24" s="1" t="s">
        <v>1453</v>
      </c>
      <c r="J24" s="8" t="str">
        <f aca="false">HYPERLINK("https://mncourtfraud.com/file/2c9c8d2443ff00fcef05be9951edf6962472e88d6a7f2e0127265ed4a2bb3b8a.jpg","2c9c8d2443ff00fcef05be9951edf6962472e88d6a7f2e0127265ed4a2bb3b8a")</f>
        <v>2c9c8d2443ff00fcef05be9951edf6962472e88d6a7f2e0127265ed4a2bb3b8a</v>
      </c>
      <c r="K24" s="1" t="s">
        <v>1454</v>
      </c>
    </row>
    <row r="25" customFormat="false" ht="18.7" hidden="false" customHeight="true" outlineLevel="0" collapsed="false">
      <c r="A25" s="1" t="n">
        <v>24</v>
      </c>
      <c r="B25" s="7" t="str">
        <f aca="false">HYPERLINK("https://mncourtfraud.com/file/740-E.zip","740-E.zip")</f>
        <v>740-E.zip</v>
      </c>
      <c r="C25" s="8" t="str">
        <f aca="false">HYPERLINK("https://mncourtfraud.com/file/27-CR-20-3244.pdf","27-CR-20-3244")</f>
        <v>27-CR-20-3244</v>
      </c>
      <c r="D25" s="3" t="s">
        <v>796</v>
      </c>
      <c r="E25" s="9" t="n">
        <v>44678</v>
      </c>
      <c r="F25" s="8" t="str">
        <f aca="false">HYPERLINK("https://mncourtfraud.com/file/MCRO_27-CR-20-3244_Returned Mail_2022-04-27_20240430085019.pdf","MCRO_27-CR-20-3244_Returned Mail_2022-04-27_20240430085019.pdf")</f>
        <v>MCRO_27-CR-20-3244_Returned Mail_2022-04-27_20240430085019.pdf</v>
      </c>
      <c r="G25" s="3" t="s">
        <v>1459</v>
      </c>
      <c r="H25" s="1" t="s">
        <v>1452</v>
      </c>
      <c r="I25" s="1" t="s">
        <v>1453</v>
      </c>
      <c r="J25" s="8" t="str">
        <f aca="false">HYPERLINK("https://mncourtfraud.com/file/56476cefdab67adb3f158c323d8c8b01b0530c83d9670fb9e973abfdb041181c.png","56476cefdab67adb3f158c323d8c8b01b0530c83d9670fb9e973abfdb041181c")</f>
        <v>56476cefdab67adb3f158c323d8c8b01b0530c83d9670fb9e973abfdb041181c</v>
      </c>
      <c r="K25" s="1" t="s">
        <v>1460</v>
      </c>
    </row>
    <row r="26" customFormat="false" ht="18.7" hidden="false" customHeight="true" outlineLevel="0" collapsed="false">
      <c r="A26" s="1" t="n">
        <v>25</v>
      </c>
      <c r="B26" s="7" t="str">
        <f aca="false">HYPERLINK("https://mncourtfraud.com/file/740-E.zip","740-E.zip")</f>
        <v>740-E.zip</v>
      </c>
      <c r="C26" s="8" t="str">
        <f aca="false">HYPERLINK("https://mncourtfraud.com/file/27-CR-20-3244.pdf","27-CR-20-3244")</f>
        <v>27-CR-20-3244</v>
      </c>
      <c r="D26" s="3" t="s">
        <v>796</v>
      </c>
      <c r="E26" s="9" t="n">
        <v>44813</v>
      </c>
      <c r="F26" s="8" t="str">
        <f aca="false">HYPERLINK("https://mncourtfraud.com/file/MCRO_27-CR-20-3244_Returned Mail_2022-09-09_20240430085015.pdf","MCRO_27-CR-20-3244_Returned Mail_2022-09-09_20240430085015.pdf")</f>
        <v>MCRO_27-CR-20-3244_Returned Mail_2022-09-09_20240430085015.pdf</v>
      </c>
      <c r="G26" s="3" t="s">
        <v>1461</v>
      </c>
      <c r="H26" s="1" t="s">
        <v>1452</v>
      </c>
      <c r="I26" s="1" t="s">
        <v>1453</v>
      </c>
      <c r="J26" s="8" t="str">
        <f aca="false">HYPERLINK("https://mncourtfraud.com/file/6e3a1ab7aca7782916d3dbd50b1aa3f353665a7bb1fa0cc70fb1372a914308ea.jpg","6e3a1ab7aca7782916d3dbd50b1aa3f353665a7bb1fa0cc70fb1372a914308ea")</f>
        <v>6e3a1ab7aca7782916d3dbd50b1aa3f353665a7bb1fa0cc70fb1372a914308ea</v>
      </c>
      <c r="K26" s="1" t="s">
        <v>1454</v>
      </c>
    </row>
    <row r="27" customFormat="false" ht="18.7" hidden="false" customHeight="true" outlineLevel="0" collapsed="false">
      <c r="A27" s="1" t="n">
        <v>26</v>
      </c>
      <c r="B27" s="7" t="str">
        <f aca="false">HYPERLINK("https://mncourtfraud.com/file/740-E.zip","740-E.zip")</f>
        <v>740-E.zip</v>
      </c>
      <c r="C27" s="8" t="str">
        <f aca="false">HYPERLINK("https://mncourtfraud.com/file/27-CR-20-3244.pdf","27-CR-20-3244")</f>
        <v>27-CR-20-3244</v>
      </c>
      <c r="D27" s="3" t="s">
        <v>796</v>
      </c>
      <c r="E27" s="9" t="n">
        <v>45064</v>
      </c>
      <c r="F27" s="8" t="str">
        <f aca="false">HYPERLINK("https://mncourtfraud.com/file/MCRO_27-CR-20-3244_Returned Mail_2023-05-18_20240430085008.pdf","MCRO_27-CR-20-3244_Returned Mail_2023-05-18_20240430085008.pdf")</f>
        <v>MCRO_27-CR-20-3244_Returned Mail_2023-05-18_20240430085008.pdf</v>
      </c>
      <c r="G27" s="3" t="s">
        <v>1456</v>
      </c>
      <c r="H27" s="1" t="s">
        <v>1452</v>
      </c>
      <c r="I27" s="1" t="s">
        <v>1453</v>
      </c>
      <c r="J27" s="8" t="str">
        <f aca="false">HYPERLINK("https://mncourtfraud.com/file/79184e172406b6b27a0405baab264c1ddf92f2abe1189db35b339f72cacdfc60.jpg","79184e172406b6b27a0405baab264c1ddf92f2abe1189db35b339f72cacdfc60")</f>
        <v>79184e172406b6b27a0405baab264c1ddf92f2abe1189db35b339f72cacdfc60</v>
      </c>
      <c r="K27" s="1" t="s">
        <v>1454</v>
      </c>
    </row>
    <row r="28" customFormat="false" ht="18.7" hidden="false" customHeight="true" outlineLevel="0" collapsed="false">
      <c r="A28" s="1" t="n">
        <v>27</v>
      </c>
      <c r="B28" s="7" t="str">
        <f aca="false">HYPERLINK("https://mncourtfraud.com/file/740-E.zip","740-E.zip")</f>
        <v>740-E.zip</v>
      </c>
      <c r="C28" s="8" t="str">
        <f aca="false">HYPERLINK("https://mncourtfraud.com/file/27-CR-20-3244.pdf","27-CR-20-3244")</f>
        <v>27-CR-20-3244</v>
      </c>
      <c r="D28" s="3" t="s">
        <v>796</v>
      </c>
      <c r="E28" s="9" t="n">
        <v>45210</v>
      </c>
      <c r="F28" s="8" t="str">
        <f aca="false">HYPERLINK("https://mncourtfraud.com/file/MCRO_27-CR-20-3244_Returned Mail_2023-10-11_20240430085003.pdf","MCRO_27-CR-20-3244_Returned Mail_2023-10-11_20240430085003.pdf")</f>
        <v>MCRO_27-CR-20-3244_Returned Mail_2023-10-11_20240430085003.pdf</v>
      </c>
      <c r="G28" s="3" t="s">
        <v>1457</v>
      </c>
      <c r="H28" s="1" t="s">
        <v>1452</v>
      </c>
      <c r="I28" s="1" t="s">
        <v>1453</v>
      </c>
      <c r="J28" s="8" t="str">
        <f aca="false">HYPERLINK("https://mncourtfraud.com/file/90825652d6eff34856c80743e8a537ab9b3579645ede0ddc68faa48a68e36d1f.jpg","90825652d6eff34856c80743e8a537ab9b3579645ede0ddc68faa48a68e36d1f")</f>
        <v>90825652d6eff34856c80743e8a537ab9b3579645ede0ddc68faa48a68e36d1f</v>
      </c>
      <c r="K28" s="1" t="s">
        <v>1454</v>
      </c>
    </row>
    <row r="29" customFormat="false" ht="18.7" hidden="false" customHeight="true" outlineLevel="0" collapsed="false">
      <c r="A29" s="1" t="n">
        <v>28</v>
      </c>
      <c r="B29" s="7" t="str">
        <f aca="false">HYPERLINK("https://mncourtfraud.com/file/740-E.zip","740-E.zip")</f>
        <v>740-E.zip</v>
      </c>
      <c r="C29" s="8" t="str">
        <f aca="false">HYPERLINK("https://mncourtfraud.com/file/27-CR-20-3244.pdf","27-CR-20-3244")</f>
        <v>27-CR-20-3244</v>
      </c>
      <c r="D29" s="3" t="s">
        <v>796</v>
      </c>
      <c r="E29" s="9" t="n">
        <v>45264</v>
      </c>
      <c r="F29" s="8" t="str">
        <f aca="false">HYPERLINK("https://mncourtfraud.com/file/MCRO_27-CR-20-3244_Returned Mail_2023-12-04_20240430084959.pdf","MCRO_27-CR-20-3244_Returned Mail_2023-12-04_20240430084959.pdf")</f>
        <v>MCRO_27-CR-20-3244_Returned Mail_2023-12-04_20240430084959.pdf</v>
      </c>
      <c r="G29" s="3" t="s">
        <v>1577</v>
      </c>
      <c r="H29" s="1" t="s">
        <v>1452</v>
      </c>
      <c r="I29" s="1" t="s">
        <v>1453</v>
      </c>
      <c r="J29" s="8" t="str">
        <f aca="false">HYPERLINK("https://mncourtfraud.com/file/fa0ad180c3921aeffb677aa1aa5529c3b95a1cb0959d11a98e53b513693a97e2.png","fa0ad180c3921aeffb677aa1aa5529c3b95a1cb0959d11a98e53b513693a97e2")</f>
        <v>fa0ad180c3921aeffb677aa1aa5529c3b95a1cb0959d11a98e53b513693a97e2</v>
      </c>
      <c r="K29" s="1" t="s">
        <v>1460</v>
      </c>
    </row>
    <row r="30" customFormat="false" ht="18.7" hidden="false" customHeight="true" outlineLevel="0" collapsed="false">
      <c r="A30" s="1" t="n">
        <v>29</v>
      </c>
      <c r="E30" s="9"/>
    </row>
    <row r="31" customFormat="false" ht="18.7" hidden="false" customHeight="true" outlineLevel="0" collapsed="false">
      <c r="A31" s="1" t="n">
        <v>30</v>
      </c>
      <c r="B31" s="7" t="str">
        <f aca="false">HYPERLINK("https://mncourtfraud.com/file/740-E.zip","740-E.zip")</f>
        <v>740-E.zip</v>
      </c>
      <c r="C31" s="8" t="str">
        <f aca="false">HYPERLINK("https://mncourtfraud.com/file/27-CR-23-3423.pdf","27-CR-23-3423")</f>
        <v>27-CR-23-3423</v>
      </c>
      <c r="D31" s="3" t="s">
        <v>1582</v>
      </c>
      <c r="E31" s="9" t="n">
        <v>45371</v>
      </c>
      <c r="F31" s="8" t="str">
        <f aca="false">HYPERLINK("https://mncourtfraud.com/file/MCRO_27-CR-23-3423_Returned Mail_2024-03-20_20240430072811.pdf","MCRO_27-CR-23-3423_Returned Mail_2024-03-20_20240430072811.pdf")</f>
        <v>MCRO_27-CR-23-3423_Returned Mail_2024-03-20_20240430072811.pdf</v>
      </c>
      <c r="G31" s="3" t="s">
        <v>1583</v>
      </c>
      <c r="H31" s="1" t="s">
        <v>1452</v>
      </c>
      <c r="I31" s="1" t="s">
        <v>1453</v>
      </c>
      <c r="J31" s="8" t="str">
        <f aca="false">HYPERLINK("https://mncourtfraud.com/file/9a6bcba97f645309258ac07f35aa5dd9f0382ccb71c3d1e3d2f3fd3443ef628c.jpg","9a6bcba97f645309258ac07f35aa5dd9f0382ccb71c3d1e3d2f3fd3443ef628c")</f>
        <v>9a6bcba97f645309258ac07f35aa5dd9f0382ccb71c3d1e3d2f3fd3443ef628c</v>
      </c>
      <c r="K31" s="1" t="s">
        <v>1454</v>
      </c>
    </row>
    <row r="32" customFormat="false" ht="18.7" hidden="false" customHeight="true" outlineLevel="0" collapsed="false">
      <c r="A32" s="1" t="n">
        <v>31</v>
      </c>
      <c r="B32" s="7" t="str">
        <f aca="false">HYPERLINK("https://mncourtfraud.com/file/740-E.zip","740-E.zip")</f>
        <v>740-E.zip</v>
      </c>
      <c r="C32" s="8" t="str">
        <f aca="false">HYPERLINK("https://mncourtfraud.com/file/27-CR-23-284.pdf","27-CR-23-284")</f>
        <v>27-CR-23-284</v>
      </c>
      <c r="D32" s="3" t="s">
        <v>1582</v>
      </c>
      <c r="E32" s="9" t="n">
        <v>44979</v>
      </c>
      <c r="F32" s="8" t="str">
        <f aca="false">HYPERLINK("https://mncourtfraud.com/file/MCRO_27-CR-23-284_Returned Mail_2023-02-22_20240430071742.pdf","MCRO_27-CR-23-284_Returned Mail_2023-02-22_20240430071742.pdf")</f>
        <v>MCRO_27-CR-23-284_Returned Mail_2023-02-22_20240430071742.pdf</v>
      </c>
      <c r="G32" s="3" t="s">
        <v>1584</v>
      </c>
      <c r="H32" s="1" t="s">
        <v>1452</v>
      </c>
      <c r="I32" s="1" t="s">
        <v>1453</v>
      </c>
      <c r="J32" s="8" t="str">
        <f aca="false">HYPERLINK("https://mncourtfraud.com/file/ed7d05a085bc680c7517afe8d0f3f5c0a2889deb22fbb09d0651fd546e3db9f3.jpg","ed7d05a085bc680c7517afe8d0f3f5c0a2889deb22fbb09d0651fd546e3db9f3")</f>
        <v>ed7d05a085bc680c7517afe8d0f3f5c0a2889deb22fbb09d0651fd546e3db9f3</v>
      </c>
      <c r="K32" s="1" t="s">
        <v>1454</v>
      </c>
    </row>
    <row r="33" customFormat="false" ht="18.7" hidden="false" customHeight="true" outlineLevel="0" collapsed="false">
      <c r="A33" s="1"/>
    </row>
    <row r="34" customFormat="false" ht="18.7" hidden="false" customHeight="true" outlineLevel="0" collapsed="false">
      <c r="A34" s="1"/>
    </row>
    <row r="35" customFormat="false" ht="18.7" hidden="false" customHeight="true" outlineLevel="0" collapsed="false">
      <c r="A35" s="1"/>
    </row>
    <row r="36" customFormat="false" ht="18.7" hidden="false" customHeight="true" outlineLevel="0" collapsed="false">
      <c r="A36" s="1"/>
    </row>
    <row r="37" customFormat="false" ht="18.7" hidden="false" customHeight="true" outlineLevel="0" collapsed="false">
      <c r="A37" s="1"/>
    </row>
    <row r="38" customFormat="false" ht="18.7" hidden="false" customHeight="true" outlineLevel="0" collapsed="false">
      <c r="A38" s="1"/>
    </row>
    <row r="39" customFormat="false" ht="18.7" hidden="false" customHeight="true" outlineLevel="0" collapsed="false">
      <c r="A39" s="1"/>
    </row>
    <row r="40" customFormat="false" ht="18.7" hidden="false" customHeight="true" outlineLevel="0" collapsed="false">
      <c r="A40" s="1"/>
    </row>
    <row r="41" customFormat="false" ht="18.7" hidden="false" customHeight="true" outlineLevel="0" collapsed="false">
      <c r="A41" s="1"/>
    </row>
    <row r="42" customFormat="false" ht="18.7" hidden="false" customHeight="true" outlineLevel="0" collapsed="false">
      <c r="A42" s="1"/>
    </row>
    <row r="43" customFormat="false" ht="18.7" hidden="false" customHeight="true" outlineLevel="0" collapsed="false">
      <c r="A43" s="1"/>
    </row>
    <row r="44" customFormat="false" ht="18.7" hidden="false" customHeight="true" outlineLevel="0" collapsed="false">
      <c r="A44" s="1"/>
    </row>
    <row r="45" customFormat="false" ht="18.7" hidden="false" customHeight="true" outlineLevel="0" collapsed="false">
      <c r="A45" s="1"/>
    </row>
    <row r="46" customFormat="false" ht="18.7" hidden="false" customHeight="true" outlineLevel="0" collapsed="false">
      <c r="A46" s="1"/>
    </row>
    <row r="47" customFormat="false" ht="18.7" hidden="false" customHeight="true" outlineLevel="0" collapsed="false">
      <c r="A47" s="1"/>
    </row>
    <row r="48" customFormat="false" ht="18.7" hidden="false" customHeight="true" outlineLevel="0" collapsed="false">
      <c r="A48" s="1"/>
    </row>
    <row r="49" customFormat="false" ht="18.7" hidden="false" customHeight="true" outlineLevel="0" collapsed="false">
      <c r="A49" s="1"/>
    </row>
    <row r="50" customFormat="false" ht="18.7" hidden="false" customHeight="true" outlineLevel="0" collapsed="false">
      <c r="A50" s="1"/>
    </row>
    <row r="51" customFormat="false" ht="18.7" hidden="false" customHeight="true" outlineLevel="0" collapsed="false">
      <c r="A51" s="1"/>
    </row>
    <row r="52" customFormat="false" ht="18.7" hidden="false" customHeight="true" outlineLevel="0" collapsed="false">
      <c r="A52" s="1"/>
    </row>
    <row r="53" customFormat="false" ht="18.7" hidden="false" customHeight="true" outlineLevel="0" collapsed="false">
      <c r="A53" s="1"/>
    </row>
    <row r="54" customFormat="false" ht="18.7" hidden="false" customHeight="true" outlineLevel="0" collapsed="false">
      <c r="A54" s="1"/>
    </row>
    <row r="55" customFormat="false" ht="18.7" hidden="false" customHeight="true" outlineLevel="0" collapsed="false">
      <c r="A55" s="1"/>
    </row>
    <row r="56" customFormat="false" ht="18.7" hidden="false" customHeight="true" outlineLevel="0" collapsed="false">
      <c r="A56" s="1"/>
    </row>
    <row r="57" customFormat="false" ht="18.7" hidden="false" customHeight="true" outlineLevel="0" collapsed="false">
      <c r="A57" s="1"/>
    </row>
    <row r="58" customFormat="false" ht="18.7" hidden="false" customHeight="true" outlineLevel="0" collapsed="false">
      <c r="A58" s="1"/>
    </row>
    <row r="59" customFormat="false" ht="18.7" hidden="false" customHeight="true" outlineLevel="0" collapsed="false">
      <c r="A59" s="1"/>
    </row>
    <row r="60" customFormat="false" ht="18.7" hidden="false" customHeight="true" outlineLevel="0" collapsed="false">
      <c r="A60" s="1"/>
    </row>
    <row r="61" customFormat="false" ht="18.7" hidden="false" customHeight="true" outlineLevel="0" collapsed="false">
      <c r="A61" s="1"/>
    </row>
    <row r="62" customFormat="false" ht="18.7" hidden="false" customHeight="true" outlineLevel="0" collapsed="false">
      <c r="A62" s="1"/>
    </row>
    <row r="63" customFormat="false" ht="18.7" hidden="false" customHeight="true" outlineLevel="0" collapsed="false">
      <c r="A63" s="1"/>
    </row>
    <row r="64" customFormat="false" ht="18.7" hidden="false" customHeight="true" outlineLevel="0" collapsed="false">
      <c r="A64" s="1"/>
    </row>
    <row r="65" customFormat="false" ht="18.7" hidden="false" customHeight="true" outlineLevel="0" collapsed="false">
      <c r="A65" s="1"/>
    </row>
    <row r="66" customFormat="false" ht="18.7" hidden="false" customHeight="true" outlineLevel="0" collapsed="false">
      <c r="A66" s="1"/>
    </row>
    <row r="67" customFormat="false" ht="18.7" hidden="false" customHeight="true" outlineLevel="0" collapsed="false">
      <c r="A67" s="1"/>
    </row>
    <row r="68" customFormat="false" ht="18.7" hidden="false" customHeight="true" outlineLevel="0" collapsed="false">
      <c r="A68" s="1"/>
    </row>
    <row r="69" customFormat="false" ht="18.7" hidden="false" customHeight="true" outlineLevel="0" collapsed="false">
      <c r="A69" s="1"/>
    </row>
    <row r="70" customFormat="false" ht="18.7" hidden="false" customHeight="true" outlineLevel="0" collapsed="false">
      <c r="A70" s="1"/>
    </row>
    <row r="71" customFormat="false" ht="18.7" hidden="false" customHeight="true" outlineLevel="0" collapsed="false">
      <c r="A71" s="1"/>
    </row>
    <row r="72" customFormat="false" ht="18.7" hidden="false" customHeight="true" outlineLevel="0" collapsed="false">
      <c r="A72" s="1"/>
    </row>
    <row r="73" customFormat="false" ht="18.7" hidden="false" customHeight="true" outlineLevel="0" collapsed="false">
      <c r="A73" s="1"/>
    </row>
    <row r="74" customFormat="false" ht="18.7" hidden="false" customHeight="true" outlineLevel="0" collapsed="false">
      <c r="A74" s="1"/>
    </row>
    <row r="75" customFormat="false" ht="18.7" hidden="false" customHeight="true" outlineLevel="0" collapsed="false">
      <c r="A75" s="1"/>
    </row>
    <row r="76" customFormat="false" ht="18.7" hidden="false" customHeight="true" outlineLevel="0" collapsed="false">
      <c r="A76" s="1"/>
    </row>
    <row r="77" customFormat="false" ht="18.7" hidden="false" customHeight="true" outlineLevel="0" collapsed="false">
      <c r="A77" s="1"/>
    </row>
    <row r="78" customFormat="false" ht="18.7" hidden="false" customHeight="true" outlineLevel="0" collapsed="false">
      <c r="A78" s="1"/>
    </row>
    <row r="79" customFormat="false" ht="18.7" hidden="false" customHeight="true" outlineLevel="0" collapsed="false">
      <c r="A79" s="1"/>
    </row>
    <row r="80" customFormat="false" ht="18.7" hidden="false" customHeight="true" outlineLevel="0" collapsed="false">
      <c r="A80" s="1"/>
    </row>
    <row r="81" customFormat="false" ht="18.7" hidden="false" customHeight="true" outlineLevel="0" collapsed="false">
      <c r="A81" s="1"/>
    </row>
    <row r="82" customFormat="false" ht="18.7" hidden="false" customHeight="true" outlineLevel="0" collapsed="false">
      <c r="A82" s="1"/>
    </row>
    <row r="83" customFormat="false" ht="18.7" hidden="false" customHeight="true" outlineLevel="0" collapsed="false">
      <c r="A83" s="1"/>
    </row>
    <row r="84" customFormat="false" ht="18.7" hidden="false" customHeight="true" outlineLevel="0" collapsed="false">
      <c r="A84" s="1"/>
    </row>
    <row r="85" customFormat="false" ht="18.7" hidden="false" customHeight="true" outlineLevel="0" collapsed="false">
      <c r="A85" s="1"/>
    </row>
    <row r="86" customFormat="false" ht="18.7" hidden="false" customHeight="true" outlineLevel="0" collapsed="false">
      <c r="A86" s="1"/>
    </row>
    <row r="87" customFormat="false" ht="18.7" hidden="false" customHeight="true" outlineLevel="0" collapsed="false">
      <c r="A87" s="1"/>
    </row>
    <row r="88" customFormat="false" ht="18.7" hidden="false" customHeight="true" outlineLevel="0" collapsed="false">
      <c r="A88" s="1"/>
    </row>
    <row r="89" customFormat="false" ht="18.7" hidden="false" customHeight="true" outlineLevel="0" collapsed="false">
      <c r="A89" s="1"/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31" activeCellId="0" sqref="G3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3" width="9.72"/>
    <col collapsed="false" customWidth="true" hidden="false" outlineLevel="0" max="2" min="2" style="2" width="16.2"/>
    <col collapsed="false" customWidth="true" hidden="false" outlineLevel="0" max="3" min="3" style="16" width="21.39"/>
    <col collapsed="false" customWidth="true" hidden="false" outlineLevel="0" max="4" min="4" style="3" width="15.97"/>
    <col collapsed="false" customWidth="true" hidden="false" outlineLevel="0" max="5" min="5" style="17" width="36.4"/>
    <col collapsed="false" customWidth="true" hidden="false" outlineLevel="0" max="8" min="6" style="1" width="12.96"/>
    <col collapsed="false" customWidth="true" hidden="false" outlineLevel="0" max="9" min="9" style="3" width="18.79"/>
    <col collapsed="false" customWidth="true" hidden="false" outlineLevel="0" max="10" min="10" style="17" width="92.39"/>
    <col collapsed="false" customWidth="true" hidden="false" outlineLevel="0" max="11" min="11" style="16" width="39.6"/>
    <col collapsed="false" customWidth="true" hidden="false" outlineLevel="0" max="12" min="12" style="17" width="107.4"/>
    <col collapsed="false" customWidth="false" hidden="false" outlineLevel="0" max="78" min="13" style="18" width="11.52"/>
    <col collapsed="false" customWidth="false" hidden="false" outlineLevel="0" max="1023" min="79" style="4" width="11.52"/>
  </cols>
  <sheetData>
    <row r="1" customFormat="false" ht="23.05" hidden="false" customHeight="true" outlineLevel="0" collapsed="false">
      <c r="A1" s="5" t="s">
        <v>0</v>
      </c>
      <c r="B1" s="12" t="s">
        <v>1</v>
      </c>
      <c r="C1" s="5" t="s">
        <v>2</v>
      </c>
      <c r="D1" s="5" t="s">
        <v>5</v>
      </c>
      <c r="E1" s="5" t="s">
        <v>4</v>
      </c>
      <c r="F1" s="5" t="s">
        <v>1585</v>
      </c>
      <c r="G1" s="5" t="s">
        <v>1586</v>
      </c>
      <c r="H1" s="5" t="s">
        <v>1587</v>
      </c>
      <c r="I1" s="5" t="s">
        <v>1588</v>
      </c>
      <c r="J1" s="5" t="s">
        <v>1589</v>
      </c>
      <c r="K1" s="5" t="s">
        <v>3</v>
      </c>
      <c r="L1" s="5" t="s">
        <v>4</v>
      </c>
    </row>
    <row r="2" customFormat="false" ht="18.7" hidden="false" customHeight="true" outlineLevel="0" collapsed="false">
      <c r="A2" s="19" t="n">
        <v>1</v>
      </c>
      <c r="B2" s="20" t="str">
        <f aca="false">HYPERLINK("https://mncourtfraud.com/file/JS.zip","JS.zip")</f>
        <v>JS.zip</v>
      </c>
      <c r="C2" s="21" t="str">
        <f aca="false">HYPERLINK("https://mncourtfraud.com/file/27-CR-20-20788.pdf","27-CR-20-20788")</f>
        <v>27-CR-20-20788</v>
      </c>
      <c r="D2" s="22" t="n">
        <v>44294</v>
      </c>
      <c r="E2" s="23" t="s">
        <v>1590</v>
      </c>
      <c r="F2" s="24" t="n">
        <v>2</v>
      </c>
      <c r="G2" s="24" t="s">
        <v>1591</v>
      </c>
      <c r="H2" s="24" t="s">
        <v>1592</v>
      </c>
      <c r="I2" s="23"/>
      <c r="J2" s="23" t="s">
        <v>1593</v>
      </c>
      <c r="K2" s="23" t="s">
        <v>1594</v>
      </c>
      <c r="L2" s="25" t="str">
        <f aca="false">HYPERLINK("https://mncourtfraud.com/file/MCRO_27-CR-20-20788_Order for Conditional Release_2021-04-08_20240430090244.pdf","MCRO_27-CR-20-20788_Order for Conditional Release_2021-04-08_20240430090244.pdf")</f>
        <v>MCRO_27-CR-20-20788_Order for Conditional Release_2021-04-08_20240430090244.pdf</v>
      </c>
    </row>
    <row r="3" customFormat="false" ht="18.7" hidden="false" customHeight="true" outlineLevel="0" collapsed="false">
      <c r="A3" s="26" t="n">
        <v>2</v>
      </c>
      <c r="B3" s="7" t="str">
        <f aca="false">HYPERLINK("https://mncourtfraud.com/file/JS.zip","JS.zip")</f>
        <v>JS.zip</v>
      </c>
      <c r="C3" s="8" t="str">
        <f aca="false">HYPERLINK("https://mncourtfraud.com/file/27-CR-20-20788.pdf","27-CR-20-20788")</f>
        <v>27-CR-20-20788</v>
      </c>
      <c r="D3" s="27" t="n">
        <v>44294</v>
      </c>
      <c r="E3" s="3" t="s">
        <v>1595</v>
      </c>
      <c r="F3" s="1" t="n">
        <v>3</v>
      </c>
      <c r="G3" s="1" t="s">
        <v>1591</v>
      </c>
      <c r="H3" s="1" t="s">
        <v>1596</v>
      </c>
      <c r="J3" s="3" t="s">
        <v>1597</v>
      </c>
      <c r="K3" s="3" t="s">
        <v>1594</v>
      </c>
      <c r="L3" s="28" t="str">
        <f aca="false">HYPERLINK("https://mncourtfraud.com/file/MCRO_27-CR-20-20788_Order for Conditional Release_2021-04-08_20240430090244.pdf","MCRO_27-CR-20-20788_Order for Conditional Release_2021-04-08_20240430090244.pdf")</f>
        <v>MCRO_27-CR-20-20788_Order for Conditional Release_2021-04-08_20240430090244.pdf</v>
      </c>
    </row>
    <row r="4" customFormat="false" ht="18.7" hidden="false" customHeight="true" outlineLevel="0" collapsed="false">
      <c r="A4" s="26" t="n">
        <v>3</v>
      </c>
      <c r="B4" s="7" t="str">
        <f aca="false">HYPERLINK("https://mncourtfraud.com/file/JS.zip","JS.zip")</f>
        <v>JS.zip</v>
      </c>
      <c r="C4" s="8" t="str">
        <f aca="false">HYPERLINK("https://mncourtfraud.com/file/27-CR-20-20788.pdf","27-CR-20-20788")</f>
        <v>27-CR-20-20788</v>
      </c>
      <c r="D4" s="27" t="n">
        <v>44294</v>
      </c>
      <c r="E4" s="3" t="s">
        <v>1598</v>
      </c>
      <c r="F4" s="1" t="n">
        <v>4</v>
      </c>
      <c r="G4" s="1" t="s">
        <v>1591</v>
      </c>
      <c r="H4" s="1" t="s">
        <v>1592</v>
      </c>
      <c r="J4" s="3" t="s">
        <v>1599</v>
      </c>
      <c r="K4" s="3" t="s">
        <v>1594</v>
      </c>
      <c r="L4" s="28" t="str">
        <f aca="false">HYPERLINK("https://mncourtfraud.com/file/MCRO_27-CR-20-20788_Order for Conditional Release_2021-04-08_20240430090244.pdf","MCRO_27-CR-20-20788_Order for Conditional Release_2021-04-08_20240430090244.pdf")</f>
        <v>MCRO_27-CR-20-20788_Order for Conditional Release_2021-04-08_20240430090244.pdf</v>
      </c>
    </row>
    <row r="5" customFormat="false" ht="18.7" hidden="false" customHeight="true" outlineLevel="0" collapsed="false">
      <c r="A5" s="26" t="n">
        <v>4</v>
      </c>
      <c r="B5" s="7" t="str">
        <f aca="false">HYPERLINK("https://mncourtfraud.com/file/JS.zip","JS.zip")</f>
        <v>JS.zip</v>
      </c>
      <c r="C5" s="8" t="str">
        <f aca="false">HYPERLINK("https://mncourtfraud.com/file/27-CR-20-20788.pdf","27-CR-20-20788")</f>
        <v>27-CR-20-20788</v>
      </c>
      <c r="D5" s="27" t="n">
        <v>44294</v>
      </c>
      <c r="E5" s="3" t="s">
        <v>1600</v>
      </c>
      <c r="F5" s="1" t="n">
        <v>5</v>
      </c>
      <c r="G5" s="1" t="s">
        <v>1591</v>
      </c>
      <c r="H5" s="1" t="s">
        <v>1596</v>
      </c>
      <c r="J5" s="3" t="s">
        <v>1601</v>
      </c>
      <c r="K5" s="3" t="s">
        <v>1594</v>
      </c>
      <c r="L5" s="28" t="str">
        <f aca="false">HYPERLINK("https://mncourtfraud.com/file/MCRO_27-CR-20-20788_Order for Conditional Release_2021-04-08_20240430090244.pdf","MCRO_27-CR-20-20788_Order for Conditional Release_2021-04-08_20240430090244.pdf")</f>
        <v>MCRO_27-CR-20-20788_Order for Conditional Release_2021-04-08_20240430090244.pdf</v>
      </c>
    </row>
    <row r="6" customFormat="false" ht="18.7" hidden="false" customHeight="true" outlineLevel="0" collapsed="false">
      <c r="A6" s="26" t="n">
        <v>5</v>
      </c>
      <c r="B6" s="7" t="str">
        <f aca="false">HYPERLINK("https://mncourtfraud.com/file/JS.zip","JS.zip")</f>
        <v>JS.zip</v>
      </c>
      <c r="C6" s="8" t="str">
        <f aca="false">HYPERLINK("https://mncourtfraud.com/file/27-CR-20-20788.pdf","27-CR-20-20788")</f>
        <v>27-CR-20-20788</v>
      </c>
      <c r="D6" s="27" t="n">
        <v>44294</v>
      </c>
      <c r="E6" s="3" t="s">
        <v>1602</v>
      </c>
      <c r="F6" s="1" t="n">
        <v>6</v>
      </c>
      <c r="G6" s="1" t="s">
        <v>1603</v>
      </c>
      <c r="H6" s="1" t="s">
        <v>1592</v>
      </c>
      <c r="I6" s="3" t="s">
        <v>1604</v>
      </c>
      <c r="J6" s="3" t="s">
        <v>1593</v>
      </c>
      <c r="K6" s="3" t="s">
        <v>1594</v>
      </c>
      <c r="L6" s="28" t="str">
        <f aca="false">HYPERLINK("https://mncourtfraud.com/file/MCRO_27-CR-20-20788_Order for Conditional Release_2021-04-08_20240430090244.pdf","MCRO_27-CR-20-20788_Order for Conditional Release_2021-04-08_20240430090244.pdf")</f>
        <v>MCRO_27-CR-20-20788_Order for Conditional Release_2021-04-08_20240430090244.pdf</v>
      </c>
    </row>
    <row r="7" customFormat="false" ht="18.7" hidden="false" customHeight="true" outlineLevel="0" collapsed="false">
      <c r="A7" s="26" t="n">
        <v>6</v>
      </c>
      <c r="B7" s="7" t="str">
        <f aca="false">HYPERLINK("https://mncourtfraud.com/file/JS.zip","JS.zip")</f>
        <v>JS.zip</v>
      </c>
      <c r="C7" s="8" t="str">
        <f aca="false">HYPERLINK("https://mncourtfraud.com/file/27-CR-20-20788.pdf","27-CR-20-20788")</f>
        <v>27-CR-20-20788</v>
      </c>
      <c r="D7" s="27" t="n">
        <v>44294</v>
      </c>
      <c r="E7" s="3" t="s">
        <v>1605</v>
      </c>
      <c r="F7" s="1" t="n">
        <v>7</v>
      </c>
      <c r="G7" s="1" t="s">
        <v>1603</v>
      </c>
      <c r="H7" s="1" t="s">
        <v>1596</v>
      </c>
      <c r="I7" s="3" t="s">
        <v>1604</v>
      </c>
      <c r="J7" s="3" t="s">
        <v>1597</v>
      </c>
      <c r="K7" s="3" t="s">
        <v>1594</v>
      </c>
      <c r="L7" s="28" t="str">
        <f aca="false">HYPERLINK("https://mncourtfraud.com/file/MCRO_27-CR-20-20788_Order for Conditional Release_2021-04-08_20240430090244.pdf","MCRO_27-CR-20-20788_Order for Conditional Release_2021-04-08_20240430090244.pdf")</f>
        <v>MCRO_27-CR-20-20788_Order for Conditional Release_2021-04-08_20240430090244.pdf</v>
      </c>
    </row>
    <row r="8" customFormat="false" ht="18.7" hidden="false" customHeight="true" outlineLevel="0" collapsed="false">
      <c r="A8" s="26" t="n">
        <v>7</v>
      </c>
      <c r="B8" s="7" t="str">
        <f aca="false">HYPERLINK("https://mncourtfraud.com/file/JS.zip","JS.zip")</f>
        <v>JS.zip</v>
      </c>
      <c r="C8" s="8" t="str">
        <f aca="false">HYPERLINK("https://mncourtfraud.com/file/27-CR-20-20788.pdf","27-CR-20-20788")</f>
        <v>27-CR-20-20788</v>
      </c>
      <c r="D8" s="27" t="n">
        <v>44294</v>
      </c>
      <c r="E8" s="3" t="s">
        <v>1606</v>
      </c>
      <c r="F8" s="1" t="n">
        <v>8</v>
      </c>
      <c r="G8" s="1" t="s">
        <v>1603</v>
      </c>
      <c r="H8" s="1" t="s">
        <v>1592</v>
      </c>
      <c r="I8" s="3" t="s">
        <v>1607</v>
      </c>
      <c r="J8" s="3" t="s">
        <v>1599</v>
      </c>
      <c r="K8" s="3" t="s">
        <v>1594</v>
      </c>
      <c r="L8" s="28" t="str">
        <f aca="false">HYPERLINK("https://mncourtfraud.com/file/MCRO_27-CR-20-20788_Order for Conditional Release_2021-04-08_20240430090244.pdf","MCRO_27-CR-20-20788_Order for Conditional Release_2021-04-08_20240430090244.pdf")</f>
        <v>MCRO_27-CR-20-20788_Order for Conditional Release_2021-04-08_20240430090244.pdf</v>
      </c>
    </row>
    <row r="9" customFormat="false" ht="18.7" hidden="false" customHeight="true" outlineLevel="0" collapsed="false">
      <c r="A9" s="29" t="n">
        <v>8</v>
      </c>
      <c r="B9" s="30" t="str">
        <f aca="false">HYPERLINK("https://mncourtfraud.com/file/JS.zip","JS.zip")</f>
        <v>JS.zip</v>
      </c>
      <c r="C9" s="31" t="str">
        <f aca="false">HYPERLINK("https://mncourtfraud.com/file/27-CR-20-20788.pdf","27-CR-20-20788")</f>
        <v>27-CR-20-20788</v>
      </c>
      <c r="D9" s="32" t="n">
        <v>44294</v>
      </c>
      <c r="E9" s="33" t="s">
        <v>1608</v>
      </c>
      <c r="F9" s="34" t="n">
        <v>9</v>
      </c>
      <c r="G9" s="34" t="s">
        <v>1603</v>
      </c>
      <c r="H9" s="34" t="s">
        <v>1596</v>
      </c>
      <c r="I9" s="33" t="s">
        <v>1607</v>
      </c>
      <c r="J9" s="33" t="s">
        <v>1601</v>
      </c>
      <c r="K9" s="33" t="s">
        <v>1594</v>
      </c>
      <c r="L9" s="35" t="str">
        <f aca="false">HYPERLINK("https://mncourtfraud.com/file/MCRO_27-CR-20-20788_Order for Conditional Release_2021-04-08_20240430090244.pdf","MCRO_27-CR-20-20788_Order for Conditional Release_2021-04-08_20240430090244.pdf")</f>
        <v>MCRO_27-CR-20-20788_Order for Conditional Release_2021-04-08_20240430090244.pdf</v>
      </c>
    </row>
    <row r="10" s="18" customFormat="true" ht="18.7" hidden="false" customHeight="true" outlineLevel="0" collapsed="false">
      <c r="A10" s="36" t="n">
        <v>9</v>
      </c>
      <c r="B10" s="37"/>
      <c r="C10" s="38"/>
      <c r="D10" s="39"/>
      <c r="E10" s="38"/>
      <c r="F10" s="36"/>
      <c r="G10" s="36"/>
      <c r="H10" s="36"/>
      <c r="I10" s="38"/>
      <c r="J10" s="38"/>
      <c r="K10" s="38"/>
      <c r="L10" s="38"/>
      <c r="AMJ10" s="0"/>
    </row>
    <row r="11" customFormat="false" ht="18.7" hidden="false" customHeight="true" outlineLevel="0" collapsed="false">
      <c r="A11" s="19" t="n">
        <v>10</v>
      </c>
      <c r="B11" s="20" t="str">
        <f aca="false">HYPERLINK("https://mncourtfraud.com/file/JS.zip","JS.zip")</f>
        <v>JS.zip</v>
      </c>
      <c r="C11" s="21" t="str">
        <f aca="false">HYPERLINK("https://mncourtfraud.com/file/27-CR-20-20788.pdf","27-CR-20-20788")</f>
        <v>27-CR-20-20788</v>
      </c>
      <c r="D11" s="22" t="n">
        <v>44294</v>
      </c>
      <c r="E11" s="40"/>
      <c r="F11" s="24"/>
      <c r="G11" s="24"/>
      <c r="H11" s="24"/>
      <c r="I11" s="23" t="s">
        <v>1609</v>
      </c>
      <c r="J11" s="23" t="s">
        <v>1609</v>
      </c>
      <c r="K11" s="23" t="s">
        <v>1594</v>
      </c>
      <c r="L11" s="25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12" customFormat="false" ht="18.7" hidden="false" customHeight="true" outlineLevel="0" collapsed="false">
      <c r="A12" s="26" t="n">
        <v>11</v>
      </c>
      <c r="B12" s="7" t="str">
        <f aca="false">HYPERLINK("https://mncourtfraud.com/file/JS.zip","JS.zip")</f>
        <v>JS.zip</v>
      </c>
      <c r="C12" s="8" t="str">
        <f aca="false">HYPERLINK("https://mncourtfraud.com/file/27-CR-20-20788.pdf","27-CR-20-20788")</f>
        <v>27-CR-20-20788</v>
      </c>
      <c r="D12" s="27" t="n">
        <v>44294</v>
      </c>
      <c r="E12" s="0"/>
      <c r="I12" s="3" t="s">
        <v>1609</v>
      </c>
      <c r="J12" s="3" t="s">
        <v>1610</v>
      </c>
      <c r="K12" s="3" t="s">
        <v>1594</v>
      </c>
      <c r="L12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13" customFormat="false" ht="18.7" hidden="false" customHeight="true" outlineLevel="0" collapsed="false">
      <c r="A13" s="26" t="n">
        <v>12</v>
      </c>
      <c r="B13" s="7" t="str">
        <f aca="false">HYPERLINK("https://mncourtfraud.com/file/JS.zip","JS.zip")</f>
        <v>JS.zip</v>
      </c>
      <c r="C13" s="8" t="str">
        <f aca="false">HYPERLINK("https://mncourtfraud.com/file/27-CR-20-20788.pdf","27-CR-20-20788")</f>
        <v>27-CR-20-20788</v>
      </c>
      <c r="D13" s="27" t="n">
        <v>44294</v>
      </c>
      <c r="E13" s="0"/>
      <c r="I13" s="3" t="s">
        <v>1609</v>
      </c>
      <c r="J13" s="3" t="s">
        <v>1611</v>
      </c>
      <c r="K13" s="3" t="s">
        <v>1594</v>
      </c>
      <c r="L13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14" customFormat="false" ht="18.7" hidden="false" customHeight="true" outlineLevel="0" collapsed="false">
      <c r="A14" s="26" t="n">
        <v>13</v>
      </c>
      <c r="B14" s="7" t="str">
        <f aca="false">HYPERLINK("https://mncourtfraud.com/file/JS.zip","JS.zip")</f>
        <v>JS.zip</v>
      </c>
      <c r="C14" s="8" t="str">
        <f aca="false">HYPERLINK("https://mncourtfraud.com/file/27-CR-20-20788.pdf","27-CR-20-20788")</f>
        <v>27-CR-20-20788</v>
      </c>
      <c r="D14" s="27" t="n">
        <v>44294</v>
      </c>
      <c r="E14" s="0"/>
      <c r="I14" s="3" t="s">
        <v>1609</v>
      </c>
      <c r="J14" s="3" t="s">
        <v>1612</v>
      </c>
      <c r="K14" s="3" t="s">
        <v>1594</v>
      </c>
      <c r="L14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15" customFormat="false" ht="18.7" hidden="false" customHeight="true" outlineLevel="0" collapsed="false">
      <c r="A15" s="26" t="n">
        <v>14</v>
      </c>
      <c r="B15" s="7" t="str">
        <f aca="false">HYPERLINK("https://mncourtfraud.com/file/JS.zip","JS.zip")</f>
        <v>JS.zip</v>
      </c>
      <c r="C15" s="8" t="str">
        <f aca="false">HYPERLINK("https://mncourtfraud.com/file/27-CR-20-20788.pdf","27-CR-20-20788")</f>
        <v>27-CR-20-20788</v>
      </c>
      <c r="D15" s="27" t="n">
        <v>44294</v>
      </c>
      <c r="E15" s="0"/>
      <c r="I15" s="3" t="s">
        <v>1609</v>
      </c>
      <c r="J15" s="3" t="s">
        <v>1613</v>
      </c>
      <c r="K15" s="3" t="s">
        <v>1594</v>
      </c>
      <c r="L15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16" customFormat="false" ht="18.7" hidden="false" customHeight="true" outlineLevel="0" collapsed="false">
      <c r="A16" s="26" t="n">
        <v>15</v>
      </c>
      <c r="B16" s="7" t="str">
        <f aca="false">HYPERLINK("https://mncourtfraud.com/file/JS.zip","JS.zip")</f>
        <v>JS.zip</v>
      </c>
      <c r="C16" s="8" t="str">
        <f aca="false">HYPERLINK("https://mncourtfraud.com/file/27-CR-20-20788.pdf","27-CR-20-20788")</f>
        <v>27-CR-20-20788</v>
      </c>
      <c r="D16" s="27" t="n">
        <v>44294</v>
      </c>
      <c r="E16" s="0"/>
      <c r="I16" s="3" t="s">
        <v>1609</v>
      </c>
      <c r="J16" s="3" t="s">
        <v>1614</v>
      </c>
      <c r="K16" s="3" t="s">
        <v>1594</v>
      </c>
      <c r="L16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17" customFormat="false" ht="18.7" hidden="false" customHeight="true" outlineLevel="0" collapsed="false">
      <c r="A17" s="26" t="n">
        <v>16</v>
      </c>
      <c r="B17" s="7" t="str">
        <f aca="false">HYPERLINK("https://mncourtfraud.com/file/JS.zip","JS.zip")</f>
        <v>JS.zip</v>
      </c>
      <c r="C17" s="8" t="str">
        <f aca="false">HYPERLINK("https://mncourtfraud.com/file/27-CR-20-20788.pdf","27-CR-20-20788")</f>
        <v>27-CR-20-20788</v>
      </c>
      <c r="D17" s="27" t="n">
        <v>44294</v>
      </c>
      <c r="E17" s="0"/>
      <c r="I17" s="3" t="s">
        <v>1609</v>
      </c>
      <c r="J17" s="3" t="s">
        <v>1615</v>
      </c>
      <c r="K17" s="3" t="s">
        <v>1594</v>
      </c>
      <c r="L17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18" customFormat="false" ht="18.7" hidden="false" customHeight="true" outlineLevel="0" collapsed="false">
      <c r="A18" s="26" t="n">
        <v>17</v>
      </c>
      <c r="B18" s="7" t="str">
        <f aca="false">HYPERLINK("https://mncourtfraud.com/file/JS.zip","JS.zip")</f>
        <v>JS.zip</v>
      </c>
      <c r="C18" s="8" t="str">
        <f aca="false">HYPERLINK("https://mncourtfraud.com/file/27-CR-20-20788.pdf","27-CR-20-20788")</f>
        <v>27-CR-20-20788</v>
      </c>
      <c r="D18" s="27" t="n">
        <v>44294</v>
      </c>
      <c r="E18" s="0"/>
      <c r="I18" s="3" t="s">
        <v>1609</v>
      </c>
      <c r="J18" s="3" t="s">
        <v>1616</v>
      </c>
      <c r="K18" s="3" t="s">
        <v>1594</v>
      </c>
      <c r="L18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19" customFormat="false" ht="18.7" hidden="false" customHeight="true" outlineLevel="0" collapsed="false">
      <c r="A19" s="26" t="n">
        <v>18</v>
      </c>
      <c r="B19" s="7" t="str">
        <f aca="false">HYPERLINK("https://mncourtfraud.com/file/JS.zip","JS.zip")</f>
        <v>JS.zip</v>
      </c>
      <c r="C19" s="8" t="str">
        <f aca="false">HYPERLINK("https://mncourtfraud.com/file/27-CR-20-20788.pdf","27-CR-20-20788")</f>
        <v>27-CR-20-20788</v>
      </c>
      <c r="D19" s="27" t="n">
        <v>44294</v>
      </c>
      <c r="E19" s="0"/>
      <c r="I19" s="3" t="s">
        <v>1609</v>
      </c>
      <c r="J19" s="3" t="s">
        <v>1617</v>
      </c>
      <c r="K19" s="3" t="s">
        <v>1594</v>
      </c>
      <c r="L19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20" customFormat="false" ht="18.7" hidden="false" customHeight="true" outlineLevel="0" collapsed="false">
      <c r="A20" s="26" t="n">
        <v>19</v>
      </c>
      <c r="B20" s="7" t="str">
        <f aca="false">HYPERLINK("https://mncourtfraud.com/file/JS.zip","JS.zip")</f>
        <v>JS.zip</v>
      </c>
      <c r="C20" s="8" t="str">
        <f aca="false">HYPERLINK("https://mncourtfraud.com/file/27-CR-20-20788.pdf","27-CR-20-20788")</f>
        <v>27-CR-20-20788</v>
      </c>
      <c r="D20" s="27" t="n">
        <v>44294</v>
      </c>
      <c r="E20" s="0"/>
      <c r="I20" s="3" t="s">
        <v>1609</v>
      </c>
      <c r="J20" s="3" t="s">
        <v>1618</v>
      </c>
      <c r="K20" s="3" t="s">
        <v>1594</v>
      </c>
      <c r="L20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21" customFormat="false" ht="18.7" hidden="false" customHeight="true" outlineLevel="0" collapsed="false">
      <c r="A21" s="26" t="n">
        <v>20</v>
      </c>
      <c r="B21" s="7" t="str">
        <f aca="false">HYPERLINK("https://mncourtfraud.com/file/JS.zip","JS.zip")</f>
        <v>JS.zip</v>
      </c>
      <c r="C21" s="8" t="str">
        <f aca="false">HYPERLINK("https://mncourtfraud.com/file/27-CR-20-20788.pdf","27-CR-20-20788")</f>
        <v>27-CR-20-20788</v>
      </c>
      <c r="D21" s="27" t="n">
        <v>44294</v>
      </c>
      <c r="E21" s="0"/>
      <c r="I21" s="3" t="s">
        <v>1609</v>
      </c>
      <c r="J21" s="3" t="s">
        <v>1619</v>
      </c>
      <c r="K21" s="3" t="s">
        <v>1594</v>
      </c>
      <c r="L21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22" customFormat="false" ht="18.7" hidden="false" customHeight="true" outlineLevel="0" collapsed="false">
      <c r="A22" s="26" t="n">
        <v>21</v>
      </c>
      <c r="B22" s="7" t="str">
        <f aca="false">HYPERLINK("https://mncourtfraud.com/file/JS.zip","JS.zip")</f>
        <v>JS.zip</v>
      </c>
      <c r="C22" s="8" t="str">
        <f aca="false">HYPERLINK("https://mncourtfraud.com/file/27-CR-20-20788.pdf","27-CR-20-20788")</f>
        <v>27-CR-20-20788</v>
      </c>
      <c r="D22" s="27" t="n">
        <v>44294</v>
      </c>
      <c r="E22" s="0"/>
      <c r="I22" s="3" t="s">
        <v>1609</v>
      </c>
      <c r="J22" s="3" t="s">
        <v>1620</v>
      </c>
      <c r="K22" s="3" t="s">
        <v>1594</v>
      </c>
      <c r="L22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23" customFormat="false" ht="18.7" hidden="false" customHeight="true" outlineLevel="0" collapsed="false">
      <c r="A23" s="26" t="n">
        <v>22</v>
      </c>
      <c r="B23" s="7" t="str">
        <f aca="false">HYPERLINK("https://mncourtfraud.com/file/JS.zip","JS.zip")</f>
        <v>JS.zip</v>
      </c>
      <c r="C23" s="8" t="str">
        <f aca="false">HYPERLINK("https://mncourtfraud.com/file/27-CR-20-20788.pdf","27-CR-20-20788")</f>
        <v>27-CR-20-20788</v>
      </c>
      <c r="D23" s="27" t="n">
        <v>44294</v>
      </c>
      <c r="E23" s="0"/>
      <c r="I23" s="3" t="s">
        <v>1609</v>
      </c>
      <c r="J23" s="3" t="s">
        <v>1621</v>
      </c>
      <c r="K23" s="3" t="s">
        <v>1594</v>
      </c>
      <c r="L23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24" customFormat="false" ht="18.7" hidden="false" customHeight="true" outlineLevel="0" collapsed="false">
      <c r="A24" s="26" t="n">
        <v>23</v>
      </c>
      <c r="B24" s="7" t="str">
        <f aca="false">HYPERLINK("https://mncourtfraud.com/file/JS.zip","JS.zip")</f>
        <v>JS.zip</v>
      </c>
      <c r="C24" s="8" t="str">
        <f aca="false">HYPERLINK("https://mncourtfraud.com/file/27-CR-20-20788.pdf","27-CR-20-20788")</f>
        <v>27-CR-20-20788</v>
      </c>
      <c r="D24" s="27" t="n">
        <v>44294</v>
      </c>
      <c r="E24" s="0"/>
      <c r="I24" s="3" t="s">
        <v>1609</v>
      </c>
      <c r="J24" s="3" t="s">
        <v>1622</v>
      </c>
      <c r="K24" s="3" t="s">
        <v>1594</v>
      </c>
      <c r="L24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25" customFormat="false" ht="18.7" hidden="false" customHeight="true" outlineLevel="0" collapsed="false">
      <c r="A25" s="26" t="n">
        <v>24</v>
      </c>
      <c r="B25" s="7" t="str">
        <f aca="false">HYPERLINK("https://mncourtfraud.com/file/JS.zip","JS.zip")</f>
        <v>JS.zip</v>
      </c>
      <c r="C25" s="8" t="str">
        <f aca="false">HYPERLINK("https://mncourtfraud.com/file/27-CR-20-20788.pdf","27-CR-20-20788")</f>
        <v>27-CR-20-20788</v>
      </c>
      <c r="D25" s="27" t="n">
        <v>44294</v>
      </c>
      <c r="E25" s="0"/>
      <c r="I25" s="3" t="s">
        <v>1609</v>
      </c>
      <c r="J25" s="3" t="s">
        <v>1623</v>
      </c>
      <c r="K25" s="3" t="s">
        <v>1594</v>
      </c>
      <c r="L25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26" customFormat="false" ht="18.7" hidden="false" customHeight="true" outlineLevel="0" collapsed="false">
      <c r="A26" s="29" t="n">
        <v>25</v>
      </c>
      <c r="B26" s="30" t="str">
        <f aca="false">HYPERLINK("https://mncourtfraud.com/file/JS.zip","JS.zip")</f>
        <v>JS.zip</v>
      </c>
      <c r="C26" s="31" t="str">
        <f aca="false">HYPERLINK("https://mncourtfraud.com/file/27-CR-20-20788.pdf","27-CR-20-20788")</f>
        <v>27-CR-20-20788</v>
      </c>
      <c r="D26" s="32" t="n">
        <v>44294</v>
      </c>
      <c r="E26" s="41"/>
      <c r="F26" s="34"/>
      <c r="G26" s="34"/>
      <c r="H26" s="34"/>
      <c r="I26" s="33" t="s">
        <v>1609</v>
      </c>
      <c r="J26" s="33" t="s">
        <v>1624</v>
      </c>
      <c r="K26" s="33" t="s">
        <v>1594</v>
      </c>
      <c r="L26" s="35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27" s="18" customFormat="true" ht="18.7" hidden="false" customHeight="true" outlineLevel="0" collapsed="false">
      <c r="A27" s="36" t="n">
        <v>26</v>
      </c>
      <c r="B27" s="37"/>
      <c r="C27" s="38"/>
      <c r="D27" s="39"/>
      <c r="E27" s="42"/>
      <c r="F27" s="36"/>
      <c r="G27" s="36"/>
      <c r="H27" s="36"/>
      <c r="I27" s="38"/>
      <c r="J27" s="38"/>
      <c r="K27" s="38"/>
      <c r="L27" s="38"/>
      <c r="AMJ27" s="0"/>
    </row>
    <row r="28" customFormat="false" ht="18.7" hidden="false" customHeight="true" outlineLevel="0" collapsed="false">
      <c r="A28" s="19" t="n">
        <v>27</v>
      </c>
      <c r="B28" s="20" t="str">
        <f aca="false">HYPERLINK("https://mncourtfraud.com/file/JS.zip","JS.zip")</f>
        <v>JS.zip</v>
      </c>
      <c r="C28" s="21" t="str">
        <f aca="false">HYPERLINK("https://mncourtfraud.com/file/27-CR-20-20788.pdf","27-CR-20-20788")</f>
        <v>27-CR-20-20788</v>
      </c>
      <c r="D28" s="22" t="n">
        <v>44294</v>
      </c>
      <c r="E28" s="40"/>
      <c r="F28" s="24"/>
      <c r="G28" s="24"/>
      <c r="H28" s="24"/>
      <c r="I28" s="23" t="s">
        <v>1625</v>
      </c>
      <c r="J28" s="23" t="s">
        <v>1625</v>
      </c>
      <c r="K28" s="23" t="s">
        <v>1594</v>
      </c>
      <c r="L28" s="25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29" customFormat="false" ht="18.7" hidden="false" customHeight="true" outlineLevel="0" collapsed="false">
      <c r="A29" s="26" t="n">
        <v>28</v>
      </c>
      <c r="B29" s="7" t="str">
        <f aca="false">HYPERLINK("https://mncourtfraud.com/file/JS.zip","JS.zip")</f>
        <v>JS.zip</v>
      </c>
      <c r="C29" s="8" t="str">
        <f aca="false">HYPERLINK("https://mncourtfraud.com/file/27-CR-20-20788.pdf","27-CR-20-20788")</f>
        <v>27-CR-20-20788</v>
      </c>
      <c r="D29" s="27" t="n">
        <v>44294</v>
      </c>
      <c r="E29" s="0"/>
      <c r="I29" s="3" t="s">
        <v>1625</v>
      </c>
      <c r="J29" s="3" t="s">
        <v>1626</v>
      </c>
      <c r="K29" s="3" t="s">
        <v>1594</v>
      </c>
      <c r="L29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30" customFormat="false" ht="18.7" hidden="false" customHeight="true" outlineLevel="0" collapsed="false">
      <c r="A30" s="26" t="n">
        <v>29</v>
      </c>
      <c r="B30" s="7" t="str">
        <f aca="false">HYPERLINK("https://mncourtfraud.com/file/JS.zip","JS.zip")</f>
        <v>JS.zip</v>
      </c>
      <c r="C30" s="8" t="str">
        <f aca="false">HYPERLINK("https://mncourtfraud.com/file/27-CR-20-20788.pdf","27-CR-20-20788")</f>
        <v>27-CR-20-20788</v>
      </c>
      <c r="D30" s="27" t="n">
        <v>44294</v>
      </c>
      <c r="E30" s="0"/>
      <c r="I30" s="3" t="s">
        <v>1625</v>
      </c>
      <c r="J30" s="3" t="s">
        <v>1611</v>
      </c>
      <c r="K30" s="3" t="s">
        <v>1594</v>
      </c>
      <c r="L30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31" customFormat="false" ht="18.7" hidden="false" customHeight="true" outlineLevel="0" collapsed="false">
      <c r="A31" s="26" t="n">
        <v>30</v>
      </c>
      <c r="B31" s="7" t="str">
        <f aca="false">HYPERLINK("https://mncourtfraud.com/file/JS.zip","JS.zip")</f>
        <v>JS.zip</v>
      </c>
      <c r="C31" s="8" t="str">
        <f aca="false">HYPERLINK("https://mncourtfraud.com/file/27-CR-20-20788.pdf","27-CR-20-20788")</f>
        <v>27-CR-20-20788</v>
      </c>
      <c r="D31" s="27" t="n">
        <v>44294</v>
      </c>
      <c r="E31" s="0"/>
      <c r="I31" s="3" t="s">
        <v>1625</v>
      </c>
      <c r="J31" s="3" t="s">
        <v>1612</v>
      </c>
      <c r="K31" s="3" t="s">
        <v>1594</v>
      </c>
      <c r="L31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32" customFormat="false" ht="18.7" hidden="false" customHeight="true" outlineLevel="0" collapsed="false">
      <c r="A32" s="26" t="n">
        <v>31</v>
      </c>
      <c r="B32" s="7" t="str">
        <f aca="false">HYPERLINK("https://mncourtfraud.com/file/JS.zip","JS.zip")</f>
        <v>JS.zip</v>
      </c>
      <c r="C32" s="8" t="str">
        <f aca="false">HYPERLINK("https://mncourtfraud.com/file/27-CR-20-20788.pdf","27-CR-20-20788")</f>
        <v>27-CR-20-20788</v>
      </c>
      <c r="D32" s="27" t="n">
        <v>44294</v>
      </c>
      <c r="E32" s="0"/>
      <c r="I32" s="3" t="s">
        <v>1625</v>
      </c>
      <c r="J32" s="3" t="s">
        <v>1613</v>
      </c>
      <c r="K32" s="3" t="s">
        <v>1594</v>
      </c>
      <c r="L32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33" customFormat="false" ht="18.7" hidden="false" customHeight="true" outlineLevel="0" collapsed="false">
      <c r="A33" s="26" t="n">
        <v>32</v>
      </c>
      <c r="B33" s="7" t="str">
        <f aca="false">HYPERLINK("https://mncourtfraud.com/file/JS.zip","JS.zip")</f>
        <v>JS.zip</v>
      </c>
      <c r="C33" s="8" t="str">
        <f aca="false">HYPERLINK("https://mncourtfraud.com/file/27-CR-20-20788.pdf","27-CR-20-20788")</f>
        <v>27-CR-20-20788</v>
      </c>
      <c r="D33" s="27" t="n">
        <v>44294</v>
      </c>
      <c r="E33" s="0"/>
      <c r="I33" s="3" t="s">
        <v>1625</v>
      </c>
      <c r="J33" s="3" t="s">
        <v>1614</v>
      </c>
      <c r="K33" s="3" t="s">
        <v>1594</v>
      </c>
      <c r="L33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34" customFormat="false" ht="18.7" hidden="false" customHeight="true" outlineLevel="0" collapsed="false">
      <c r="A34" s="26" t="n">
        <v>33</v>
      </c>
      <c r="B34" s="7" t="str">
        <f aca="false">HYPERLINK("https://mncourtfraud.com/file/JS.zip","JS.zip")</f>
        <v>JS.zip</v>
      </c>
      <c r="C34" s="8" t="str">
        <f aca="false">HYPERLINK("https://mncourtfraud.com/file/27-CR-20-20788.pdf","27-CR-20-20788")</f>
        <v>27-CR-20-20788</v>
      </c>
      <c r="D34" s="27" t="n">
        <v>44294</v>
      </c>
      <c r="E34" s="0"/>
      <c r="I34" s="3" t="s">
        <v>1625</v>
      </c>
      <c r="J34" s="3" t="s">
        <v>1615</v>
      </c>
      <c r="K34" s="3" t="s">
        <v>1594</v>
      </c>
      <c r="L34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35" customFormat="false" ht="18.7" hidden="false" customHeight="true" outlineLevel="0" collapsed="false">
      <c r="A35" s="26" t="n">
        <v>34</v>
      </c>
      <c r="B35" s="7" t="str">
        <f aca="false">HYPERLINK("https://mncourtfraud.com/file/JS.zip","JS.zip")</f>
        <v>JS.zip</v>
      </c>
      <c r="C35" s="8" t="str">
        <f aca="false">HYPERLINK("https://mncourtfraud.com/file/27-CR-20-20788.pdf","27-CR-20-20788")</f>
        <v>27-CR-20-20788</v>
      </c>
      <c r="D35" s="27" t="n">
        <v>44294</v>
      </c>
      <c r="E35" s="0"/>
      <c r="I35" s="3" t="s">
        <v>1625</v>
      </c>
      <c r="J35" s="3" t="s">
        <v>1616</v>
      </c>
      <c r="K35" s="3" t="s">
        <v>1594</v>
      </c>
      <c r="L35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36" customFormat="false" ht="18.7" hidden="false" customHeight="true" outlineLevel="0" collapsed="false">
      <c r="A36" s="26" t="n">
        <v>35</v>
      </c>
      <c r="B36" s="7" t="str">
        <f aca="false">HYPERLINK("https://mncourtfraud.com/file/JS.zip","JS.zip")</f>
        <v>JS.zip</v>
      </c>
      <c r="C36" s="8" t="str">
        <f aca="false">HYPERLINK("https://mncourtfraud.com/file/27-CR-20-20788.pdf","27-CR-20-20788")</f>
        <v>27-CR-20-20788</v>
      </c>
      <c r="D36" s="27" t="n">
        <v>44294</v>
      </c>
      <c r="E36" s="0"/>
      <c r="I36" s="3" t="s">
        <v>1625</v>
      </c>
      <c r="J36" s="3" t="s">
        <v>1617</v>
      </c>
      <c r="K36" s="3" t="s">
        <v>1594</v>
      </c>
      <c r="L36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37" customFormat="false" ht="18.7" hidden="false" customHeight="true" outlineLevel="0" collapsed="false">
      <c r="A37" s="26" t="n">
        <v>36</v>
      </c>
      <c r="B37" s="7" t="str">
        <f aca="false">HYPERLINK("https://mncourtfraud.com/file/JS.zip","JS.zip")</f>
        <v>JS.zip</v>
      </c>
      <c r="C37" s="8" t="str">
        <f aca="false">HYPERLINK("https://mncourtfraud.com/file/27-CR-20-20788.pdf","27-CR-20-20788")</f>
        <v>27-CR-20-20788</v>
      </c>
      <c r="D37" s="27" t="n">
        <v>44294</v>
      </c>
      <c r="E37" s="0"/>
      <c r="I37" s="3" t="s">
        <v>1625</v>
      </c>
      <c r="J37" s="3" t="s">
        <v>1618</v>
      </c>
      <c r="K37" s="3" t="s">
        <v>1594</v>
      </c>
      <c r="L37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38" customFormat="false" ht="18.7" hidden="false" customHeight="true" outlineLevel="0" collapsed="false">
      <c r="A38" s="26" t="n">
        <v>37</v>
      </c>
      <c r="B38" s="7" t="str">
        <f aca="false">HYPERLINK("https://mncourtfraud.com/file/JS.zip","JS.zip")</f>
        <v>JS.zip</v>
      </c>
      <c r="C38" s="8" t="str">
        <f aca="false">HYPERLINK("https://mncourtfraud.com/file/27-CR-20-20788.pdf","27-CR-20-20788")</f>
        <v>27-CR-20-20788</v>
      </c>
      <c r="D38" s="27" t="n">
        <v>44294</v>
      </c>
      <c r="E38" s="0"/>
      <c r="I38" s="3" t="s">
        <v>1625</v>
      </c>
      <c r="J38" s="3" t="s">
        <v>1619</v>
      </c>
      <c r="K38" s="3" t="s">
        <v>1594</v>
      </c>
      <c r="L38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39" customFormat="false" ht="18.7" hidden="false" customHeight="true" outlineLevel="0" collapsed="false">
      <c r="A39" s="26" t="n">
        <v>38</v>
      </c>
      <c r="B39" s="7" t="str">
        <f aca="false">HYPERLINK("https://mncourtfraud.com/file/JS.zip","JS.zip")</f>
        <v>JS.zip</v>
      </c>
      <c r="C39" s="8" t="str">
        <f aca="false">HYPERLINK("https://mncourtfraud.com/file/27-CR-20-20788.pdf","27-CR-20-20788")</f>
        <v>27-CR-20-20788</v>
      </c>
      <c r="D39" s="27" t="n">
        <v>44294</v>
      </c>
      <c r="E39" s="0"/>
      <c r="I39" s="3" t="s">
        <v>1625</v>
      </c>
      <c r="J39" s="3" t="s">
        <v>1620</v>
      </c>
      <c r="K39" s="3" t="s">
        <v>1594</v>
      </c>
      <c r="L39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40" customFormat="false" ht="18.7" hidden="false" customHeight="true" outlineLevel="0" collapsed="false">
      <c r="A40" s="26" t="n">
        <v>39</v>
      </c>
      <c r="B40" s="7" t="str">
        <f aca="false">HYPERLINK("https://mncourtfraud.com/file/JS.zip","JS.zip")</f>
        <v>JS.zip</v>
      </c>
      <c r="C40" s="8" t="str">
        <f aca="false">HYPERLINK("https://mncourtfraud.com/file/27-CR-20-20788.pdf","27-CR-20-20788")</f>
        <v>27-CR-20-20788</v>
      </c>
      <c r="D40" s="27" t="n">
        <v>44294</v>
      </c>
      <c r="E40" s="0"/>
      <c r="I40" s="3" t="s">
        <v>1625</v>
      </c>
      <c r="J40" s="3" t="s">
        <v>1621</v>
      </c>
      <c r="K40" s="3" t="s">
        <v>1594</v>
      </c>
      <c r="L40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41" customFormat="false" ht="18.7" hidden="false" customHeight="true" outlineLevel="0" collapsed="false">
      <c r="A41" s="26" t="n">
        <v>40</v>
      </c>
      <c r="B41" s="7" t="str">
        <f aca="false">HYPERLINK("https://mncourtfraud.com/file/JS.zip","JS.zip")</f>
        <v>JS.zip</v>
      </c>
      <c r="C41" s="8" t="str">
        <f aca="false">HYPERLINK("https://mncourtfraud.com/file/27-CR-20-20788.pdf","27-CR-20-20788")</f>
        <v>27-CR-20-20788</v>
      </c>
      <c r="D41" s="27" t="n">
        <v>44294</v>
      </c>
      <c r="E41" s="0"/>
      <c r="I41" s="3" t="s">
        <v>1625</v>
      </c>
      <c r="J41" s="3" t="s">
        <v>1622</v>
      </c>
      <c r="K41" s="3" t="s">
        <v>1594</v>
      </c>
      <c r="L41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42" customFormat="false" ht="18.7" hidden="false" customHeight="true" outlineLevel="0" collapsed="false">
      <c r="A42" s="26" t="n">
        <v>41</v>
      </c>
      <c r="B42" s="7" t="str">
        <f aca="false">HYPERLINK("https://mncourtfraud.com/file/JS.zip","JS.zip")</f>
        <v>JS.zip</v>
      </c>
      <c r="C42" s="8" t="str">
        <f aca="false">HYPERLINK("https://mncourtfraud.com/file/27-CR-20-20788.pdf","27-CR-20-20788")</f>
        <v>27-CR-20-20788</v>
      </c>
      <c r="D42" s="27" t="n">
        <v>44294</v>
      </c>
      <c r="E42" s="0"/>
      <c r="I42" s="3" t="s">
        <v>1625</v>
      </c>
      <c r="J42" s="3" t="s">
        <v>1623</v>
      </c>
      <c r="K42" s="3" t="s">
        <v>1594</v>
      </c>
      <c r="L42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43" customFormat="false" ht="18.7" hidden="false" customHeight="true" outlineLevel="0" collapsed="false">
      <c r="A43" s="29" t="n">
        <v>42</v>
      </c>
      <c r="B43" s="30" t="str">
        <f aca="false">HYPERLINK("https://mncourtfraud.com/file/JS.zip","JS.zip")</f>
        <v>JS.zip</v>
      </c>
      <c r="C43" s="31" t="str">
        <f aca="false">HYPERLINK("https://mncourtfraud.com/file/27-CR-20-20788.pdf","27-CR-20-20788")</f>
        <v>27-CR-20-20788</v>
      </c>
      <c r="D43" s="32" t="n">
        <v>44294</v>
      </c>
      <c r="E43" s="41"/>
      <c r="F43" s="34"/>
      <c r="G43" s="34"/>
      <c r="H43" s="34"/>
      <c r="I43" s="33" t="s">
        <v>1625</v>
      </c>
      <c r="J43" s="33" t="s">
        <v>1624</v>
      </c>
      <c r="K43" s="33" t="s">
        <v>1594</v>
      </c>
      <c r="L43" s="35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44" s="18" customFormat="true" ht="18.7" hidden="false" customHeight="true" outlineLevel="0" collapsed="false">
      <c r="A44" s="36" t="n">
        <v>43</v>
      </c>
      <c r="B44" s="37"/>
      <c r="C44" s="38"/>
      <c r="D44" s="39"/>
      <c r="E44" s="42"/>
      <c r="F44" s="36"/>
      <c r="G44" s="36"/>
      <c r="H44" s="36"/>
      <c r="I44" s="38"/>
      <c r="J44" s="38"/>
      <c r="K44" s="38"/>
      <c r="L44" s="38"/>
      <c r="AMJ44" s="0"/>
    </row>
    <row r="45" customFormat="false" ht="18.7" hidden="false" customHeight="true" outlineLevel="0" collapsed="false">
      <c r="A45" s="19" t="n">
        <v>44</v>
      </c>
      <c r="B45" s="20" t="str">
        <f aca="false">HYPERLINK("https://mncourtfraud.com/file/JS.zip","JS.zip")</f>
        <v>JS.zip</v>
      </c>
      <c r="C45" s="21" t="str">
        <f aca="false">HYPERLINK("https://mncourtfraud.com/file/27-CR-20-20788.pdf","27-CR-20-20788")</f>
        <v>27-CR-20-20788</v>
      </c>
      <c r="D45" s="22" t="n">
        <v>44294</v>
      </c>
      <c r="E45" s="40"/>
      <c r="F45" s="24"/>
      <c r="G45" s="24"/>
      <c r="H45" s="24"/>
      <c r="I45" s="23" t="s">
        <v>1627</v>
      </c>
      <c r="J45" s="23" t="s">
        <v>1627</v>
      </c>
      <c r="K45" s="23" t="s">
        <v>1594</v>
      </c>
      <c r="L45" s="25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46" customFormat="false" ht="18.7" hidden="false" customHeight="true" outlineLevel="0" collapsed="false">
      <c r="A46" s="26" t="n">
        <v>45</v>
      </c>
      <c r="B46" s="7" t="str">
        <f aca="false">HYPERLINK("https://mncourtfraud.com/file/JS.zip","JS.zip")</f>
        <v>JS.zip</v>
      </c>
      <c r="C46" s="8" t="str">
        <f aca="false">HYPERLINK("https://mncourtfraud.com/file/27-CR-20-20788.pdf","27-CR-20-20788")</f>
        <v>27-CR-20-20788</v>
      </c>
      <c r="D46" s="27" t="n">
        <v>44294</v>
      </c>
      <c r="E46" s="0"/>
      <c r="I46" s="3" t="s">
        <v>1627</v>
      </c>
      <c r="J46" s="3" t="s">
        <v>1628</v>
      </c>
      <c r="K46" s="3" t="s">
        <v>1594</v>
      </c>
      <c r="L46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47" customFormat="false" ht="18.7" hidden="false" customHeight="true" outlineLevel="0" collapsed="false">
      <c r="A47" s="26" t="n">
        <v>46</v>
      </c>
      <c r="B47" s="7" t="str">
        <f aca="false">HYPERLINK("https://mncourtfraud.com/file/JS.zip","JS.zip")</f>
        <v>JS.zip</v>
      </c>
      <c r="C47" s="8" t="str">
        <f aca="false">HYPERLINK("https://mncourtfraud.com/file/27-CR-20-20788.pdf","27-CR-20-20788")</f>
        <v>27-CR-20-20788</v>
      </c>
      <c r="D47" s="27" t="n">
        <v>44294</v>
      </c>
      <c r="E47" s="0"/>
      <c r="I47" s="3" t="s">
        <v>1627</v>
      </c>
      <c r="J47" s="3" t="s">
        <v>1611</v>
      </c>
      <c r="K47" s="3" t="s">
        <v>1594</v>
      </c>
      <c r="L47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48" customFormat="false" ht="18.7" hidden="false" customHeight="true" outlineLevel="0" collapsed="false">
      <c r="A48" s="26" t="n">
        <v>47</v>
      </c>
      <c r="B48" s="7" t="str">
        <f aca="false">HYPERLINK("https://mncourtfraud.com/file/JS.zip","JS.zip")</f>
        <v>JS.zip</v>
      </c>
      <c r="C48" s="8" t="str">
        <f aca="false">HYPERLINK("https://mncourtfraud.com/file/27-CR-20-20788.pdf","27-CR-20-20788")</f>
        <v>27-CR-20-20788</v>
      </c>
      <c r="D48" s="27" t="n">
        <v>44294</v>
      </c>
      <c r="E48" s="0"/>
      <c r="I48" s="3" t="s">
        <v>1627</v>
      </c>
      <c r="J48" s="3" t="s">
        <v>1629</v>
      </c>
      <c r="K48" s="3" t="s">
        <v>1594</v>
      </c>
      <c r="L48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49" customFormat="false" ht="18.7" hidden="false" customHeight="true" outlineLevel="0" collapsed="false">
      <c r="A49" s="26" t="n">
        <v>48</v>
      </c>
      <c r="B49" s="7" t="str">
        <f aca="false">HYPERLINK("https://mncourtfraud.com/file/JS.zip","JS.zip")</f>
        <v>JS.zip</v>
      </c>
      <c r="C49" s="8" t="str">
        <f aca="false">HYPERLINK("https://mncourtfraud.com/file/27-CR-20-20788.pdf","27-CR-20-20788")</f>
        <v>27-CR-20-20788</v>
      </c>
      <c r="D49" s="27" t="n">
        <v>44294</v>
      </c>
      <c r="E49" s="0"/>
      <c r="I49" s="3" t="s">
        <v>1627</v>
      </c>
      <c r="J49" s="3" t="s">
        <v>1613</v>
      </c>
      <c r="K49" s="3" t="s">
        <v>1594</v>
      </c>
      <c r="L49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50" customFormat="false" ht="18.7" hidden="false" customHeight="true" outlineLevel="0" collapsed="false">
      <c r="A50" s="26" t="n">
        <v>49</v>
      </c>
      <c r="B50" s="7" t="str">
        <f aca="false">HYPERLINK("https://mncourtfraud.com/file/JS.zip","JS.zip")</f>
        <v>JS.zip</v>
      </c>
      <c r="C50" s="8" t="str">
        <f aca="false">HYPERLINK("https://mncourtfraud.com/file/27-CR-20-20788.pdf","27-CR-20-20788")</f>
        <v>27-CR-20-20788</v>
      </c>
      <c r="D50" s="27" t="n">
        <v>44294</v>
      </c>
      <c r="E50" s="0"/>
      <c r="I50" s="3" t="s">
        <v>1627</v>
      </c>
      <c r="J50" s="3" t="s">
        <v>1630</v>
      </c>
      <c r="K50" s="3" t="s">
        <v>1594</v>
      </c>
      <c r="L50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51" customFormat="false" ht="18.7" hidden="false" customHeight="true" outlineLevel="0" collapsed="false">
      <c r="A51" s="26" t="n">
        <v>50</v>
      </c>
      <c r="B51" s="7" t="str">
        <f aca="false">HYPERLINK("https://mncourtfraud.com/file/JS.zip","JS.zip")</f>
        <v>JS.zip</v>
      </c>
      <c r="C51" s="8" t="str">
        <f aca="false">HYPERLINK("https://mncourtfraud.com/file/27-CR-20-20788.pdf","27-CR-20-20788")</f>
        <v>27-CR-20-20788</v>
      </c>
      <c r="D51" s="27" t="n">
        <v>44294</v>
      </c>
      <c r="E51" s="0"/>
      <c r="I51" s="3" t="s">
        <v>1627</v>
      </c>
      <c r="J51" s="3" t="s">
        <v>1615</v>
      </c>
      <c r="K51" s="3" t="s">
        <v>1594</v>
      </c>
      <c r="L51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52" customFormat="false" ht="18.7" hidden="false" customHeight="true" outlineLevel="0" collapsed="false">
      <c r="A52" s="26" t="n">
        <v>51</v>
      </c>
      <c r="B52" s="7" t="str">
        <f aca="false">HYPERLINK("https://mncourtfraud.com/file/JS.zip","JS.zip")</f>
        <v>JS.zip</v>
      </c>
      <c r="C52" s="8" t="str">
        <f aca="false">HYPERLINK("https://mncourtfraud.com/file/27-CR-20-20788.pdf","27-CR-20-20788")</f>
        <v>27-CR-20-20788</v>
      </c>
      <c r="D52" s="27" t="n">
        <v>44294</v>
      </c>
      <c r="E52" s="0"/>
      <c r="I52" s="3" t="s">
        <v>1627</v>
      </c>
      <c r="J52" s="3" t="s">
        <v>1616</v>
      </c>
      <c r="K52" s="3" t="s">
        <v>1594</v>
      </c>
      <c r="L52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53" customFormat="false" ht="18.7" hidden="false" customHeight="true" outlineLevel="0" collapsed="false">
      <c r="A53" s="26" t="n">
        <v>52</v>
      </c>
      <c r="B53" s="7" t="str">
        <f aca="false">HYPERLINK("https://mncourtfraud.com/file/JS.zip","JS.zip")</f>
        <v>JS.zip</v>
      </c>
      <c r="C53" s="8" t="str">
        <f aca="false">HYPERLINK("https://mncourtfraud.com/file/27-CR-20-20788.pdf","27-CR-20-20788")</f>
        <v>27-CR-20-20788</v>
      </c>
      <c r="D53" s="27" t="n">
        <v>44294</v>
      </c>
      <c r="E53" s="0"/>
      <c r="I53" s="3" t="s">
        <v>1627</v>
      </c>
      <c r="J53" s="3" t="s">
        <v>1617</v>
      </c>
      <c r="K53" s="3" t="s">
        <v>1594</v>
      </c>
      <c r="L53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54" customFormat="false" ht="18.7" hidden="false" customHeight="true" outlineLevel="0" collapsed="false">
      <c r="A54" s="26" t="n">
        <v>53</v>
      </c>
      <c r="B54" s="7" t="str">
        <f aca="false">HYPERLINK("https://mncourtfraud.com/file/JS.zip","JS.zip")</f>
        <v>JS.zip</v>
      </c>
      <c r="C54" s="8" t="str">
        <f aca="false">HYPERLINK("https://mncourtfraud.com/file/27-CR-20-20788.pdf","27-CR-20-20788")</f>
        <v>27-CR-20-20788</v>
      </c>
      <c r="D54" s="27" t="n">
        <v>44294</v>
      </c>
      <c r="E54" s="0"/>
      <c r="I54" s="3" t="s">
        <v>1627</v>
      </c>
      <c r="J54" s="3" t="s">
        <v>1618</v>
      </c>
      <c r="K54" s="3" t="s">
        <v>1594</v>
      </c>
      <c r="L54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55" customFormat="false" ht="18.7" hidden="false" customHeight="true" outlineLevel="0" collapsed="false">
      <c r="A55" s="26" t="n">
        <v>54</v>
      </c>
      <c r="B55" s="7" t="str">
        <f aca="false">HYPERLINK("https://mncourtfraud.com/file/JS.zip","JS.zip")</f>
        <v>JS.zip</v>
      </c>
      <c r="C55" s="8" t="str">
        <f aca="false">HYPERLINK("https://mncourtfraud.com/file/27-CR-20-20788.pdf","27-CR-20-20788")</f>
        <v>27-CR-20-20788</v>
      </c>
      <c r="D55" s="27" t="n">
        <v>44294</v>
      </c>
      <c r="E55" s="0"/>
      <c r="I55" s="3" t="s">
        <v>1627</v>
      </c>
      <c r="J55" s="3" t="s">
        <v>1631</v>
      </c>
      <c r="K55" s="3" t="s">
        <v>1594</v>
      </c>
      <c r="L55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56" customFormat="false" ht="18.7" hidden="false" customHeight="true" outlineLevel="0" collapsed="false">
      <c r="A56" s="26" t="n">
        <v>55</v>
      </c>
      <c r="B56" s="7" t="str">
        <f aca="false">HYPERLINK("https://mncourtfraud.com/file/JS.zip","JS.zip")</f>
        <v>JS.zip</v>
      </c>
      <c r="C56" s="8" t="str">
        <f aca="false">HYPERLINK("https://mncourtfraud.com/file/27-CR-20-20788.pdf","27-CR-20-20788")</f>
        <v>27-CR-20-20788</v>
      </c>
      <c r="D56" s="27" t="n">
        <v>44294</v>
      </c>
      <c r="E56" s="0"/>
      <c r="I56" s="3" t="s">
        <v>1627</v>
      </c>
      <c r="J56" s="3" t="s">
        <v>1632</v>
      </c>
      <c r="K56" s="3" t="s">
        <v>1594</v>
      </c>
      <c r="L56" s="28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57" customFormat="false" ht="18.7" hidden="false" customHeight="true" outlineLevel="0" collapsed="false">
      <c r="A57" s="29" t="n">
        <v>56</v>
      </c>
      <c r="B57" s="30" t="str">
        <f aca="false">HYPERLINK("https://mncourtfraud.com/file/JS.zip","JS.zip")</f>
        <v>JS.zip</v>
      </c>
      <c r="C57" s="31" t="str">
        <f aca="false">HYPERLINK("https://mncourtfraud.com/file/27-CR-20-20788.pdf","27-CR-20-20788")</f>
        <v>27-CR-20-20788</v>
      </c>
      <c r="D57" s="32" t="n">
        <v>44294</v>
      </c>
      <c r="E57" s="41"/>
      <c r="F57" s="34"/>
      <c r="G57" s="34"/>
      <c r="H57" s="34"/>
      <c r="I57" s="33" t="s">
        <v>1627</v>
      </c>
      <c r="J57" s="33" t="s">
        <v>1624</v>
      </c>
      <c r="K57" s="33" t="s">
        <v>1594</v>
      </c>
      <c r="L57" s="35" t="str">
        <f aca="false">HYPERLINK("https://mncourtfraud.com/file/MCRO_27-CR-20-20788_Order for Conditional Release_2021-04-08_20240430090244.pdf.decomp.pdf","MCRO_27-CR-20-20788_Order for Conditional Release_2021-04-08_20240430090244.pdf.decomp.pdf")</f>
        <v>MCRO_27-CR-20-20788_Order for Conditional Release_2021-04-08_20240430090244.pdf.decomp.pdf</v>
      </c>
    </row>
    <row r="58" s="18" customFormat="true" ht="18.7" hidden="false" customHeight="true" outlineLevel="0" collapsed="false">
      <c r="A58" s="36" t="n">
        <v>57</v>
      </c>
      <c r="B58" s="37"/>
      <c r="C58" s="38"/>
      <c r="D58" s="39"/>
      <c r="E58" s="38"/>
      <c r="F58" s="36"/>
      <c r="G58" s="36"/>
      <c r="H58" s="36"/>
      <c r="I58" s="38"/>
      <c r="J58" s="38"/>
      <c r="K58" s="38"/>
      <c r="L58" s="38"/>
      <c r="AMJ58" s="0"/>
    </row>
    <row r="59" s="18" customFormat="true" ht="18.7" hidden="false" customHeight="true" outlineLevel="0" collapsed="false">
      <c r="A59" s="36" t="n">
        <v>58</v>
      </c>
      <c r="B59" s="37"/>
      <c r="C59" s="38"/>
      <c r="D59" s="39"/>
      <c r="E59" s="38"/>
      <c r="F59" s="36"/>
      <c r="G59" s="36"/>
      <c r="H59" s="36"/>
      <c r="I59" s="38"/>
      <c r="J59" s="38"/>
      <c r="K59" s="38"/>
      <c r="L59" s="38"/>
      <c r="AMJ59" s="0"/>
    </row>
    <row r="60" customFormat="false" ht="18.7" hidden="false" customHeight="true" outlineLevel="0" collapsed="false">
      <c r="A60" s="19" t="n">
        <v>59</v>
      </c>
      <c r="B60" s="20" t="str">
        <f aca="false">HYPERLINK("https://mncourtfraud.com/file/JS.zip","JS.zip")</f>
        <v>JS.zip</v>
      </c>
      <c r="C60" s="21" t="str">
        <f aca="false">HYPERLINK("https://mncourtfraud.com/file/27-CR-20-27550.pdf","27-CR-20-27550")</f>
        <v>27-CR-20-27550</v>
      </c>
      <c r="D60" s="22" t="n">
        <v>44301</v>
      </c>
      <c r="E60" s="23" t="s">
        <v>1590</v>
      </c>
      <c r="F60" s="24" t="n">
        <v>2</v>
      </c>
      <c r="G60" s="24" t="s">
        <v>1591</v>
      </c>
      <c r="H60" s="24" t="s">
        <v>1592</v>
      </c>
      <c r="I60" s="23"/>
      <c r="J60" s="23" t="s">
        <v>1593</v>
      </c>
      <c r="K60" s="23" t="s">
        <v>1356</v>
      </c>
      <c r="L60" s="25" t="str">
        <f aca="false">HYPERLINK("https://mncourtfraud.com/file/MCRO_27-CR-20-27550_Order for Conditional Release_2021-04-15_20240430090720.pdf","MCRO_27-CR-20-27550_Order for Conditional Release_2021-04-15_20240430090720.pdf")</f>
        <v>MCRO_27-CR-20-27550_Order for Conditional Release_2021-04-15_20240430090720.pdf</v>
      </c>
    </row>
    <row r="61" customFormat="false" ht="18.7" hidden="false" customHeight="true" outlineLevel="0" collapsed="false">
      <c r="A61" s="26" t="n">
        <v>60</v>
      </c>
      <c r="B61" s="7" t="str">
        <f aca="false">HYPERLINK("https://mncourtfraud.com/file/JS.zip","JS.zip")</f>
        <v>JS.zip</v>
      </c>
      <c r="C61" s="8" t="str">
        <f aca="false">HYPERLINK("https://mncourtfraud.com/file/27-CR-20-27550.pdf","27-CR-20-27550")</f>
        <v>27-CR-20-27550</v>
      </c>
      <c r="D61" s="27" t="n">
        <v>44301</v>
      </c>
      <c r="E61" s="3" t="s">
        <v>1595</v>
      </c>
      <c r="F61" s="1" t="n">
        <v>3</v>
      </c>
      <c r="G61" s="1" t="s">
        <v>1591</v>
      </c>
      <c r="H61" s="1" t="s">
        <v>1596</v>
      </c>
      <c r="J61" s="3" t="s">
        <v>1597</v>
      </c>
      <c r="K61" s="3" t="s">
        <v>1356</v>
      </c>
      <c r="L61" s="28" t="str">
        <f aca="false">HYPERLINK("https://mncourtfraud.com/file/MCRO_27-CR-20-27550_Order for Conditional Release_2021-04-15_20240430090720.pdf","MCRO_27-CR-20-27550_Order for Conditional Release_2021-04-15_20240430090720.pdf")</f>
        <v>MCRO_27-CR-20-27550_Order for Conditional Release_2021-04-15_20240430090720.pdf</v>
      </c>
    </row>
    <row r="62" customFormat="false" ht="18.7" hidden="false" customHeight="true" outlineLevel="0" collapsed="false">
      <c r="A62" s="26" t="n">
        <v>61</v>
      </c>
      <c r="B62" s="7" t="str">
        <f aca="false">HYPERLINK("https://mncourtfraud.com/file/JS.zip","JS.zip")</f>
        <v>JS.zip</v>
      </c>
      <c r="C62" s="8" t="str">
        <f aca="false">HYPERLINK("https://mncourtfraud.com/file/27-CR-20-27550.pdf","27-CR-20-27550")</f>
        <v>27-CR-20-27550</v>
      </c>
      <c r="D62" s="27" t="n">
        <v>44301</v>
      </c>
      <c r="E62" s="3" t="s">
        <v>1598</v>
      </c>
      <c r="F62" s="1" t="n">
        <v>4</v>
      </c>
      <c r="G62" s="1" t="s">
        <v>1591</v>
      </c>
      <c r="H62" s="1" t="s">
        <v>1592</v>
      </c>
      <c r="J62" s="3" t="s">
        <v>1599</v>
      </c>
      <c r="K62" s="3" t="s">
        <v>1356</v>
      </c>
      <c r="L62" s="28" t="str">
        <f aca="false">HYPERLINK("https://mncourtfraud.com/file/MCRO_27-CR-20-27550_Order for Conditional Release_2021-04-15_20240430090720.pdf","MCRO_27-CR-20-27550_Order for Conditional Release_2021-04-15_20240430090720.pdf")</f>
        <v>MCRO_27-CR-20-27550_Order for Conditional Release_2021-04-15_20240430090720.pdf</v>
      </c>
    </row>
    <row r="63" customFormat="false" ht="18.7" hidden="false" customHeight="true" outlineLevel="0" collapsed="false">
      <c r="A63" s="26" t="n">
        <v>62</v>
      </c>
      <c r="B63" s="7" t="str">
        <f aca="false">HYPERLINK("https://mncourtfraud.com/file/JS.zip","JS.zip")</f>
        <v>JS.zip</v>
      </c>
      <c r="C63" s="8" t="str">
        <f aca="false">HYPERLINK("https://mncourtfraud.com/file/27-CR-20-27550.pdf","27-CR-20-27550")</f>
        <v>27-CR-20-27550</v>
      </c>
      <c r="D63" s="27" t="n">
        <v>44301</v>
      </c>
      <c r="E63" s="3" t="s">
        <v>1600</v>
      </c>
      <c r="F63" s="1" t="n">
        <v>5</v>
      </c>
      <c r="G63" s="1" t="s">
        <v>1591</v>
      </c>
      <c r="H63" s="1" t="s">
        <v>1596</v>
      </c>
      <c r="J63" s="3" t="s">
        <v>1601</v>
      </c>
      <c r="K63" s="3" t="s">
        <v>1356</v>
      </c>
      <c r="L63" s="28" t="str">
        <f aca="false">HYPERLINK("https://mncourtfraud.com/file/MCRO_27-CR-20-27550_Order for Conditional Release_2021-04-15_20240430090720.pdf","MCRO_27-CR-20-27550_Order for Conditional Release_2021-04-15_20240430090720.pdf")</f>
        <v>MCRO_27-CR-20-27550_Order for Conditional Release_2021-04-15_20240430090720.pdf</v>
      </c>
    </row>
    <row r="64" customFormat="false" ht="18.7" hidden="false" customHeight="true" outlineLevel="0" collapsed="false">
      <c r="A64" s="26" t="n">
        <v>63</v>
      </c>
      <c r="B64" s="7" t="str">
        <f aca="false">HYPERLINK("https://mncourtfraud.com/file/JS.zip","JS.zip")</f>
        <v>JS.zip</v>
      </c>
      <c r="C64" s="8" t="str">
        <f aca="false">HYPERLINK("https://mncourtfraud.com/file/27-CR-20-27550.pdf","27-CR-20-27550")</f>
        <v>27-CR-20-27550</v>
      </c>
      <c r="D64" s="27" t="n">
        <v>44301</v>
      </c>
      <c r="E64" s="3" t="s">
        <v>1602</v>
      </c>
      <c r="F64" s="1" t="n">
        <v>6</v>
      </c>
      <c r="G64" s="1" t="s">
        <v>1603</v>
      </c>
      <c r="H64" s="1" t="s">
        <v>1592</v>
      </c>
      <c r="I64" s="3" t="s">
        <v>1604</v>
      </c>
      <c r="J64" s="3" t="s">
        <v>1593</v>
      </c>
      <c r="K64" s="3" t="s">
        <v>1356</v>
      </c>
      <c r="L64" s="28" t="str">
        <f aca="false">HYPERLINK("https://mncourtfraud.com/file/MCRO_27-CR-20-27550_Order for Conditional Release_2021-04-15_20240430090720.pdf","MCRO_27-CR-20-27550_Order for Conditional Release_2021-04-15_20240430090720.pdf")</f>
        <v>MCRO_27-CR-20-27550_Order for Conditional Release_2021-04-15_20240430090720.pdf</v>
      </c>
    </row>
    <row r="65" customFormat="false" ht="18.7" hidden="false" customHeight="true" outlineLevel="0" collapsed="false">
      <c r="A65" s="26" t="n">
        <v>64</v>
      </c>
      <c r="B65" s="7" t="str">
        <f aca="false">HYPERLINK("https://mncourtfraud.com/file/JS.zip","JS.zip")</f>
        <v>JS.zip</v>
      </c>
      <c r="C65" s="8" t="str">
        <f aca="false">HYPERLINK("https://mncourtfraud.com/file/27-CR-20-27550.pdf","27-CR-20-27550")</f>
        <v>27-CR-20-27550</v>
      </c>
      <c r="D65" s="27" t="n">
        <v>44301</v>
      </c>
      <c r="E65" s="3" t="s">
        <v>1605</v>
      </c>
      <c r="F65" s="1" t="n">
        <v>7</v>
      </c>
      <c r="G65" s="1" t="s">
        <v>1603</v>
      </c>
      <c r="H65" s="1" t="s">
        <v>1596</v>
      </c>
      <c r="I65" s="3" t="s">
        <v>1604</v>
      </c>
      <c r="J65" s="3" t="s">
        <v>1597</v>
      </c>
      <c r="K65" s="3" t="s">
        <v>1356</v>
      </c>
      <c r="L65" s="28" t="str">
        <f aca="false">HYPERLINK("https://mncourtfraud.com/file/MCRO_27-CR-20-27550_Order for Conditional Release_2021-04-15_20240430090720.pdf","MCRO_27-CR-20-27550_Order for Conditional Release_2021-04-15_20240430090720.pdf")</f>
        <v>MCRO_27-CR-20-27550_Order for Conditional Release_2021-04-15_20240430090720.pdf</v>
      </c>
    </row>
    <row r="66" customFormat="false" ht="18.7" hidden="false" customHeight="true" outlineLevel="0" collapsed="false">
      <c r="A66" s="26" t="n">
        <v>65</v>
      </c>
      <c r="B66" s="7" t="str">
        <f aca="false">HYPERLINK("https://mncourtfraud.com/file/JS.zip","JS.zip")</f>
        <v>JS.zip</v>
      </c>
      <c r="C66" s="8" t="str">
        <f aca="false">HYPERLINK("https://mncourtfraud.com/file/27-CR-20-27550.pdf","27-CR-20-27550")</f>
        <v>27-CR-20-27550</v>
      </c>
      <c r="D66" s="27" t="n">
        <v>44301</v>
      </c>
      <c r="E66" s="3" t="s">
        <v>1606</v>
      </c>
      <c r="F66" s="1" t="n">
        <v>8</v>
      </c>
      <c r="G66" s="1" t="s">
        <v>1603</v>
      </c>
      <c r="H66" s="1" t="s">
        <v>1592</v>
      </c>
      <c r="I66" s="3" t="s">
        <v>1607</v>
      </c>
      <c r="J66" s="3" t="s">
        <v>1599</v>
      </c>
      <c r="K66" s="3" t="s">
        <v>1356</v>
      </c>
      <c r="L66" s="28" t="str">
        <f aca="false">HYPERLINK("https://mncourtfraud.com/file/MCRO_27-CR-20-27550_Order for Conditional Release_2021-04-15_20240430090720.pdf","MCRO_27-CR-20-27550_Order for Conditional Release_2021-04-15_20240430090720.pdf")</f>
        <v>MCRO_27-CR-20-27550_Order for Conditional Release_2021-04-15_20240430090720.pdf</v>
      </c>
    </row>
    <row r="67" customFormat="false" ht="18.7" hidden="false" customHeight="true" outlineLevel="0" collapsed="false">
      <c r="A67" s="29" t="n">
        <v>66</v>
      </c>
      <c r="B67" s="30" t="str">
        <f aca="false">HYPERLINK("https://mncourtfraud.com/file/JS.zip","JS.zip")</f>
        <v>JS.zip</v>
      </c>
      <c r="C67" s="31" t="str">
        <f aca="false">HYPERLINK("https://mncourtfraud.com/file/27-CR-20-27550.pdf","27-CR-20-27550")</f>
        <v>27-CR-20-27550</v>
      </c>
      <c r="D67" s="32" t="n">
        <v>44301</v>
      </c>
      <c r="E67" s="33" t="s">
        <v>1608</v>
      </c>
      <c r="F67" s="34" t="n">
        <v>9</v>
      </c>
      <c r="G67" s="34" t="s">
        <v>1603</v>
      </c>
      <c r="H67" s="34" t="s">
        <v>1596</v>
      </c>
      <c r="I67" s="33" t="s">
        <v>1607</v>
      </c>
      <c r="J67" s="33" t="s">
        <v>1601</v>
      </c>
      <c r="K67" s="33" t="s">
        <v>1356</v>
      </c>
      <c r="L67" s="35" t="str">
        <f aca="false">HYPERLINK("https://mncourtfraud.com/file/MCRO_27-CR-20-27550_Order for Conditional Release_2021-04-15_20240430090720.pdf","MCRO_27-CR-20-27550_Order for Conditional Release_2021-04-15_20240430090720.pdf")</f>
        <v>MCRO_27-CR-20-27550_Order for Conditional Release_2021-04-15_20240430090720.pdf</v>
      </c>
    </row>
    <row r="68" s="18" customFormat="true" ht="18.7" hidden="false" customHeight="true" outlineLevel="0" collapsed="false">
      <c r="A68" s="36" t="n">
        <v>67</v>
      </c>
      <c r="B68" s="37"/>
      <c r="C68" s="38"/>
      <c r="D68" s="39"/>
      <c r="E68" s="38"/>
      <c r="F68" s="36"/>
      <c r="G68" s="36"/>
      <c r="H68" s="36"/>
      <c r="I68" s="38"/>
      <c r="J68" s="38"/>
      <c r="K68" s="38"/>
      <c r="L68" s="38"/>
      <c r="AMJ68" s="0"/>
    </row>
    <row r="69" customFormat="false" ht="18.7" hidden="false" customHeight="true" outlineLevel="0" collapsed="false">
      <c r="A69" s="19" t="n">
        <v>68</v>
      </c>
      <c r="B69" s="20" t="str">
        <f aca="false">HYPERLINK("https://mncourtfraud.com/file/JS.zip","JS.zip")</f>
        <v>JS.zip</v>
      </c>
      <c r="C69" s="21" t="str">
        <f aca="false">HYPERLINK("https://mncourtfraud.com/file/27-CR-20-27550.pdf","27-CR-20-27550")</f>
        <v>27-CR-20-27550</v>
      </c>
      <c r="D69" s="22" t="n">
        <v>44301</v>
      </c>
      <c r="E69" s="40"/>
      <c r="F69" s="24"/>
      <c r="G69" s="24"/>
      <c r="H69" s="24"/>
      <c r="I69" s="23" t="s">
        <v>1633</v>
      </c>
      <c r="J69" s="23" t="s">
        <v>1633</v>
      </c>
      <c r="K69" s="23" t="s">
        <v>1356</v>
      </c>
      <c r="L69" s="25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70" customFormat="false" ht="18.7" hidden="false" customHeight="true" outlineLevel="0" collapsed="false">
      <c r="A70" s="26" t="n">
        <v>69</v>
      </c>
      <c r="B70" s="7" t="str">
        <f aca="false">HYPERLINK("https://mncourtfraud.com/file/JS.zip","JS.zip")</f>
        <v>JS.zip</v>
      </c>
      <c r="C70" s="8" t="str">
        <f aca="false">HYPERLINK("https://mncourtfraud.com/file/27-CR-20-27550.pdf","27-CR-20-27550")</f>
        <v>27-CR-20-27550</v>
      </c>
      <c r="D70" s="27" t="n">
        <v>44301</v>
      </c>
      <c r="E70" s="0"/>
      <c r="I70" s="3" t="s">
        <v>1633</v>
      </c>
      <c r="J70" s="3" t="s">
        <v>1634</v>
      </c>
      <c r="K70" s="3" t="s">
        <v>1356</v>
      </c>
      <c r="L70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71" customFormat="false" ht="18.7" hidden="false" customHeight="true" outlineLevel="0" collapsed="false">
      <c r="A71" s="26" t="n">
        <v>70</v>
      </c>
      <c r="B71" s="7" t="str">
        <f aca="false">HYPERLINK("https://mncourtfraud.com/file/JS.zip","JS.zip")</f>
        <v>JS.zip</v>
      </c>
      <c r="C71" s="8" t="str">
        <f aca="false">HYPERLINK("https://mncourtfraud.com/file/27-CR-20-27550.pdf","27-CR-20-27550")</f>
        <v>27-CR-20-27550</v>
      </c>
      <c r="D71" s="27" t="n">
        <v>44301</v>
      </c>
      <c r="E71" s="0"/>
      <c r="I71" s="3" t="s">
        <v>1633</v>
      </c>
      <c r="J71" s="3" t="s">
        <v>1611</v>
      </c>
      <c r="K71" s="3" t="s">
        <v>1356</v>
      </c>
      <c r="L71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72" customFormat="false" ht="18.7" hidden="false" customHeight="true" outlineLevel="0" collapsed="false">
      <c r="A72" s="26" t="n">
        <v>71</v>
      </c>
      <c r="B72" s="7" t="str">
        <f aca="false">HYPERLINK("https://mncourtfraud.com/file/JS.zip","JS.zip")</f>
        <v>JS.zip</v>
      </c>
      <c r="C72" s="8" t="str">
        <f aca="false">HYPERLINK("https://mncourtfraud.com/file/27-CR-20-27550.pdf","27-CR-20-27550")</f>
        <v>27-CR-20-27550</v>
      </c>
      <c r="D72" s="27" t="n">
        <v>44301</v>
      </c>
      <c r="E72" s="0"/>
      <c r="I72" s="3" t="s">
        <v>1633</v>
      </c>
      <c r="J72" s="3" t="s">
        <v>1612</v>
      </c>
      <c r="K72" s="3" t="s">
        <v>1356</v>
      </c>
      <c r="L72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73" customFormat="false" ht="18.7" hidden="false" customHeight="true" outlineLevel="0" collapsed="false">
      <c r="A73" s="26" t="n">
        <v>72</v>
      </c>
      <c r="B73" s="7" t="str">
        <f aca="false">HYPERLINK("https://mncourtfraud.com/file/JS.zip","JS.zip")</f>
        <v>JS.zip</v>
      </c>
      <c r="C73" s="8" t="str">
        <f aca="false">HYPERLINK("https://mncourtfraud.com/file/27-CR-20-27550.pdf","27-CR-20-27550")</f>
        <v>27-CR-20-27550</v>
      </c>
      <c r="D73" s="27" t="n">
        <v>44301</v>
      </c>
      <c r="E73" s="0"/>
      <c r="I73" s="3" t="s">
        <v>1633</v>
      </c>
      <c r="J73" s="3" t="s">
        <v>1613</v>
      </c>
      <c r="K73" s="3" t="s">
        <v>1356</v>
      </c>
      <c r="L73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74" customFormat="false" ht="18.7" hidden="false" customHeight="true" outlineLevel="0" collapsed="false">
      <c r="A74" s="26" t="n">
        <v>73</v>
      </c>
      <c r="B74" s="7" t="str">
        <f aca="false">HYPERLINK("https://mncourtfraud.com/file/JS.zip","JS.zip")</f>
        <v>JS.zip</v>
      </c>
      <c r="C74" s="8" t="str">
        <f aca="false">HYPERLINK("https://mncourtfraud.com/file/27-CR-20-27550.pdf","27-CR-20-27550")</f>
        <v>27-CR-20-27550</v>
      </c>
      <c r="D74" s="27" t="n">
        <v>44301</v>
      </c>
      <c r="E74" s="0"/>
      <c r="I74" s="3" t="s">
        <v>1633</v>
      </c>
      <c r="J74" s="3" t="s">
        <v>1614</v>
      </c>
      <c r="K74" s="3" t="s">
        <v>1356</v>
      </c>
      <c r="L74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75" customFormat="false" ht="18.7" hidden="false" customHeight="true" outlineLevel="0" collapsed="false">
      <c r="A75" s="26" t="n">
        <v>74</v>
      </c>
      <c r="B75" s="7" t="str">
        <f aca="false">HYPERLINK("https://mncourtfraud.com/file/JS.zip","JS.zip")</f>
        <v>JS.zip</v>
      </c>
      <c r="C75" s="8" t="str">
        <f aca="false">HYPERLINK("https://mncourtfraud.com/file/27-CR-20-27550.pdf","27-CR-20-27550")</f>
        <v>27-CR-20-27550</v>
      </c>
      <c r="D75" s="27" t="n">
        <v>44301</v>
      </c>
      <c r="E75" s="0"/>
      <c r="I75" s="3" t="s">
        <v>1633</v>
      </c>
      <c r="J75" s="3" t="s">
        <v>1615</v>
      </c>
      <c r="K75" s="3" t="s">
        <v>1356</v>
      </c>
      <c r="L75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76" customFormat="false" ht="18.7" hidden="false" customHeight="true" outlineLevel="0" collapsed="false">
      <c r="A76" s="26" t="n">
        <v>75</v>
      </c>
      <c r="B76" s="7" t="str">
        <f aca="false">HYPERLINK("https://mncourtfraud.com/file/JS.zip","JS.zip")</f>
        <v>JS.zip</v>
      </c>
      <c r="C76" s="8" t="str">
        <f aca="false">HYPERLINK("https://mncourtfraud.com/file/27-CR-20-27550.pdf","27-CR-20-27550")</f>
        <v>27-CR-20-27550</v>
      </c>
      <c r="D76" s="27" t="n">
        <v>44301</v>
      </c>
      <c r="E76" s="0"/>
      <c r="I76" s="3" t="s">
        <v>1633</v>
      </c>
      <c r="J76" s="3" t="s">
        <v>1616</v>
      </c>
      <c r="K76" s="3" t="s">
        <v>1356</v>
      </c>
      <c r="L76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77" customFormat="false" ht="18.7" hidden="false" customHeight="true" outlineLevel="0" collapsed="false">
      <c r="A77" s="26" t="n">
        <v>76</v>
      </c>
      <c r="B77" s="7" t="str">
        <f aca="false">HYPERLINK("https://mncourtfraud.com/file/JS.zip","JS.zip")</f>
        <v>JS.zip</v>
      </c>
      <c r="C77" s="8" t="str">
        <f aca="false">HYPERLINK("https://mncourtfraud.com/file/27-CR-20-27550.pdf","27-CR-20-27550")</f>
        <v>27-CR-20-27550</v>
      </c>
      <c r="D77" s="27" t="n">
        <v>44301</v>
      </c>
      <c r="E77" s="0"/>
      <c r="I77" s="3" t="s">
        <v>1633</v>
      </c>
      <c r="J77" s="3" t="s">
        <v>1617</v>
      </c>
      <c r="K77" s="3" t="s">
        <v>1356</v>
      </c>
      <c r="L77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78" customFormat="false" ht="18.7" hidden="false" customHeight="true" outlineLevel="0" collapsed="false">
      <c r="A78" s="26" t="n">
        <v>77</v>
      </c>
      <c r="B78" s="7" t="str">
        <f aca="false">HYPERLINK("https://mncourtfraud.com/file/JS.zip","JS.zip")</f>
        <v>JS.zip</v>
      </c>
      <c r="C78" s="8" t="str">
        <f aca="false">HYPERLINK("https://mncourtfraud.com/file/27-CR-20-27550.pdf","27-CR-20-27550")</f>
        <v>27-CR-20-27550</v>
      </c>
      <c r="D78" s="27" t="n">
        <v>44301</v>
      </c>
      <c r="E78" s="0"/>
      <c r="I78" s="3" t="s">
        <v>1633</v>
      </c>
      <c r="J78" s="3" t="s">
        <v>1618</v>
      </c>
      <c r="K78" s="3" t="s">
        <v>1356</v>
      </c>
      <c r="L78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79" customFormat="false" ht="18.7" hidden="false" customHeight="true" outlineLevel="0" collapsed="false">
      <c r="A79" s="26" t="n">
        <v>78</v>
      </c>
      <c r="B79" s="7" t="str">
        <f aca="false">HYPERLINK("https://mncourtfraud.com/file/JS.zip","JS.zip")</f>
        <v>JS.zip</v>
      </c>
      <c r="C79" s="8" t="str">
        <f aca="false">HYPERLINK("https://mncourtfraud.com/file/27-CR-20-27550.pdf","27-CR-20-27550")</f>
        <v>27-CR-20-27550</v>
      </c>
      <c r="D79" s="27" t="n">
        <v>44301</v>
      </c>
      <c r="E79" s="0"/>
      <c r="I79" s="3" t="s">
        <v>1633</v>
      </c>
      <c r="J79" s="3" t="s">
        <v>1619</v>
      </c>
      <c r="K79" s="3" t="s">
        <v>1356</v>
      </c>
      <c r="L79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80" customFormat="false" ht="18.7" hidden="false" customHeight="true" outlineLevel="0" collapsed="false">
      <c r="A80" s="26" t="n">
        <v>79</v>
      </c>
      <c r="B80" s="7" t="str">
        <f aca="false">HYPERLINK("https://mncourtfraud.com/file/JS.zip","JS.zip")</f>
        <v>JS.zip</v>
      </c>
      <c r="C80" s="8" t="str">
        <f aca="false">HYPERLINK("https://mncourtfraud.com/file/27-CR-20-27550.pdf","27-CR-20-27550")</f>
        <v>27-CR-20-27550</v>
      </c>
      <c r="D80" s="27" t="n">
        <v>44301</v>
      </c>
      <c r="E80" s="0"/>
      <c r="I80" s="3" t="s">
        <v>1633</v>
      </c>
      <c r="J80" s="3" t="s">
        <v>1620</v>
      </c>
      <c r="K80" s="3" t="s">
        <v>1356</v>
      </c>
      <c r="L80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81" customFormat="false" ht="18.7" hidden="false" customHeight="true" outlineLevel="0" collapsed="false">
      <c r="A81" s="26" t="n">
        <v>80</v>
      </c>
      <c r="B81" s="7" t="str">
        <f aca="false">HYPERLINK("https://mncourtfraud.com/file/JS.zip","JS.zip")</f>
        <v>JS.zip</v>
      </c>
      <c r="C81" s="8" t="str">
        <f aca="false">HYPERLINK("https://mncourtfraud.com/file/27-CR-20-27550.pdf","27-CR-20-27550")</f>
        <v>27-CR-20-27550</v>
      </c>
      <c r="D81" s="27" t="n">
        <v>44301</v>
      </c>
      <c r="E81" s="0"/>
      <c r="I81" s="3" t="s">
        <v>1633</v>
      </c>
      <c r="J81" s="3" t="s">
        <v>1621</v>
      </c>
      <c r="K81" s="3" t="s">
        <v>1356</v>
      </c>
      <c r="L81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82" customFormat="false" ht="18.7" hidden="false" customHeight="true" outlineLevel="0" collapsed="false">
      <c r="A82" s="26" t="n">
        <v>81</v>
      </c>
      <c r="B82" s="7" t="str">
        <f aca="false">HYPERLINK("https://mncourtfraud.com/file/JS.zip","JS.zip")</f>
        <v>JS.zip</v>
      </c>
      <c r="C82" s="8" t="str">
        <f aca="false">HYPERLINK("https://mncourtfraud.com/file/27-CR-20-27550.pdf","27-CR-20-27550")</f>
        <v>27-CR-20-27550</v>
      </c>
      <c r="D82" s="27" t="n">
        <v>44301</v>
      </c>
      <c r="E82" s="0"/>
      <c r="I82" s="3" t="s">
        <v>1633</v>
      </c>
      <c r="J82" s="3" t="s">
        <v>1622</v>
      </c>
      <c r="K82" s="3" t="s">
        <v>1356</v>
      </c>
      <c r="L82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83" customFormat="false" ht="18.7" hidden="false" customHeight="true" outlineLevel="0" collapsed="false">
      <c r="A83" s="26" t="n">
        <v>82</v>
      </c>
      <c r="B83" s="7" t="str">
        <f aca="false">HYPERLINK("https://mncourtfraud.com/file/JS.zip","JS.zip")</f>
        <v>JS.zip</v>
      </c>
      <c r="C83" s="8" t="str">
        <f aca="false">HYPERLINK("https://mncourtfraud.com/file/27-CR-20-27550.pdf","27-CR-20-27550")</f>
        <v>27-CR-20-27550</v>
      </c>
      <c r="D83" s="27" t="n">
        <v>44301</v>
      </c>
      <c r="E83" s="0"/>
      <c r="I83" s="3" t="s">
        <v>1633</v>
      </c>
      <c r="J83" s="3" t="s">
        <v>1623</v>
      </c>
      <c r="K83" s="3" t="s">
        <v>1356</v>
      </c>
      <c r="L83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84" customFormat="false" ht="18.7" hidden="false" customHeight="true" outlineLevel="0" collapsed="false">
      <c r="A84" s="29" t="n">
        <v>83</v>
      </c>
      <c r="B84" s="30" t="str">
        <f aca="false">HYPERLINK("https://mncourtfraud.com/file/JS.zip","JS.zip")</f>
        <v>JS.zip</v>
      </c>
      <c r="C84" s="31" t="str">
        <f aca="false">HYPERLINK("https://mncourtfraud.com/file/27-CR-20-27550.pdf","27-CR-20-27550")</f>
        <v>27-CR-20-27550</v>
      </c>
      <c r="D84" s="32" t="n">
        <v>44301</v>
      </c>
      <c r="E84" s="41"/>
      <c r="F84" s="34"/>
      <c r="G84" s="34"/>
      <c r="H84" s="34"/>
      <c r="I84" s="33" t="s">
        <v>1633</v>
      </c>
      <c r="J84" s="33" t="s">
        <v>1635</v>
      </c>
      <c r="K84" s="33" t="s">
        <v>1356</v>
      </c>
      <c r="L84" s="35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85" s="18" customFormat="true" ht="18.7" hidden="false" customHeight="true" outlineLevel="0" collapsed="false">
      <c r="A85" s="36" t="n">
        <v>84</v>
      </c>
      <c r="B85" s="37"/>
      <c r="C85" s="38"/>
      <c r="D85" s="39"/>
      <c r="E85" s="42"/>
      <c r="F85" s="36"/>
      <c r="G85" s="36"/>
      <c r="H85" s="36"/>
      <c r="I85" s="38"/>
      <c r="J85" s="38"/>
      <c r="K85" s="38"/>
      <c r="L85" s="38"/>
      <c r="AMJ85" s="0"/>
    </row>
    <row r="86" customFormat="false" ht="18.7" hidden="false" customHeight="true" outlineLevel="0" collapsed="false">
      <c r="A86" s="19" t="n">
        <v>85</v>
      </c>
      <c r="B86" s="20" t="str">
        <f aca="false">HYPERLINK("https://mncourtfraud.com/file/JS.zip","JS.zip")</f>
        <v>JS.zip</v>
      </c>
      <c r="C86" s="21" t="str">
        <f aca="false">HYPERLINK("https://mncourtfraud.com/file/27-CR-20-27550.pdf","27-CR-20-27550")</f>
        <v>27-CR-20-27550</v>
      </c>
      <c r="D86" s="22" t="n">
        <v>44301</v>
      </c>
      <c r="E86" s="40"/>
      <c r="F86" s="24"/>
      <c r="G86" s="24"/>
      <c r="H86" s="24"/>
      <c r="I86" s="23" t="s">
        <v>1636</v>
      </c>
      <c r="J86" s="23" t="s">
        <v>1636</v>
      </c>
      <c r="K86" s="23" t="s">
        <v>1356</v>
      </c>
      <c r="L86" s="25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87" customFormat="false" ht="18.7" hidden="false" customHeight="true" outlineLevel="0" collapsed="false">
      <c r="A87" s="26" t="n">
        <v>86</v>
      </c>
      <c r="B87" s="7" t="str">
        <f aca="false">HYPERLINK("https://mncourtfraud.com/file/JS.zip","JS.zip")</f>
        <v>JS.zip</v>
      </c>
      <c r="C87" s="8" t="str">
        <f aca="false">HYPERLINK("https://mncourtfraud.com/file/27-CR-20-27550.pdf","27-CR-20-27550")</f>
        <v>27-CR-20-27550</v>
      </c>
      <c r="D87" s="27" t="n">
        <v>44301</v>
      </c>
      <c r="E87" s="0"/>
      <c r="I87" s="3" t="s">
        <v>1636</v>
      </c>
      <c r="J87" s="3" t="s">
        <v>1637</v>
      </c>
      <c r="K87" s="3" t="s">
        <v>1356</v>
      </c>
      <c r="L87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88" customFormat="false" ht="18.7" hidden="false" customHeight="true" outlineLevel="0" collapsed="false">
      <c r="A88" s="26" t="n">
        <v>87</v>
      </c>
      <c r="B88" s="7" t="str">
        <f aca="false">HYPERLINK("https://mncourtfraud.com/file/JS.zip","JS.zip")</f>
        <v>JS.zip</v>
      </c>
      <c r="C88" s="8" t="str">
        <f aca="false">HYPERLINK("https://mncourtfraud.com/file/27-CR-20-27550.pdf","27-CR-20-27550")</f>
        <v>27-CR-20-27550</v>
      </c>
      <c r="D88" s="27" t="n">
        <v>44301</v>
      </c>
      <c r="E88" s="0"/>
      <c r="I88" s="3" t="s">
        <v>1636</v>
      </c>
      <c r="J88" s="3" t="s">
        <v>1611</v>
      </c>
      <c r="K88" s="3" t="s">
        <v>1356</v>
      </c>
      <c r="L88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89" customFormat="false" ht="18.7" hidden="false" customHeight="true" outlineLevel="0" collapsed="false">
      <c r="A89" s="26" t="n">
        <v>88</v>
      </c>
      <c r="B89" s="7" t="str">
        <f aca="false">HYPERLINK("https://mncourtfraud.com/file/JS.zip","JS.zip")</f>
        <v>JS.zip</v>
      </c>
      <c r="C89" s="8" t="str">
        <f aca="false">HYPERLINK("https://mncourtfraud.com/file/27-CR-20-27550.pdf","27-CR-20-27550")</f>
        <v>27-CR-20-27550</v>
      </c>
      <c r="D89" s="27" t="n">
        <v>44301</v>
      </c>
      <c r="E89" s="0"/>
      <c r="I89" s="3" t="s">
        <v>1636</v>
      </c>
      <c r="J89" s="3" t="s">
        <v>1612</v>
      </c>
      <c r="K89" s="3" t="s">
        <v>1356</v>
      </c>
      <c r="L89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90" customFormat="false" ht="18.7" hidden="false" customHeight="true" outlineLevel="0" collapsed="false">
      <c r="A90" s="26" t="n">
        <v>89</v>
      </c>
      <c r="B90" s="7" t="str">
        <f aca="false">HYPERLINK("https://mncourtfraud.com/file/JS.zip","JS.zip")</f>
        <v>JS.zip</v>
      </c>
      <c r="C90" s="8" t="str">
        <f aca="false">HYPERLINK("https://mncourtfraud.com/file/27-CR-20-27550.pdf","27-CR-20-27550")</f>
        <v>27-CR-20-27550</v>
      </c>
      <c r="D90" s="27" t="n">
        <v>44301</v>
      </c>
      <c r="E90" s="0"/>
      <c r="I90" s="3" t="s">
        <v>1636</v>
      </c>
      <c r="J90" s="3" t="s">
        <v>1613</v>
      </c>
      <c r="K90" s="3" t="s">
        <v>1356</v>
      </c>
      <c r="L90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91" customFormat="false" ht="18.7" hidden="false" customHeight="true" outlineLevel="0" collapsed="false">
      <c r="A91" s="26" t="n">
        <v>90</v>
      </c>
      <c r="B91" s="7" t="str">
        <f aca="false">HYPERLINK("https://mncourtfraud.com/file/JS.zip","JS.zip")</f>
        <v>JS.zip</v>
      </c>
      <c r="C91" s="8" t="str">
        <f aca="false">HYPERLINK("https://mncourtfraud.com/file/27-CR-20-27550.pdf","27-CR-20-27550")</f>
        <v>27-CR-20-27550</v>
      </c>
      <c r="D91" s="27" t="n">
        <v>44301</v>
      </c>
      <c r="E91" s="0"/>
      <c r="I91" s="3" t="s">
        <v>1636</v>
      </c>
      <c r="J91" s="3" t="s">
        <v>1614</v>
      </c>
      <c r="K91" s="3" t="s">
        <v>1356</v>
      </c>
      <c r="L91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92" customFormat="false" ht="18.7" hidden="false" customHeight="true" outlineLevel="0" collapsed="false">
      <c r="A92" s="26" t="n">
        <v>91</v>
      </c>
      <c r="B92" s="7" t="str">
        <f aca="false">HYPERLINK("https://mncourtfraud.com/file/JS.zip","JS.zip")</f>
        <v>JS.zip</v>
      </c>
      <c r="C92" s="8" t="str">
        <f aca="false">HYPERLINK("https://mncourtfraud.com/file/27-CR-20-27550.pdf","27-CR-20-27550")</f>
        <v>27-CR-20-27550</v>
      </c>
      <c r="D92" s="27" t="n">
        <v>44301</v>
      </c>
      <c r="E92" s="0"/>
      <c r="I92" s="3" t="s">
        <v>1636</v>
      </c>
      <c r="J92" s="3" t="s">
        <v>1615</v>
      </c>
      <c r="K92" s="3" t="s">
        <v>1356</v>
      </c>
      <c r="L92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93" customFormat="false" ht="18.7" hidden="false" customHeight="true" outlineLevel="0" collapsed="false">
      <c r="A93" s="26" t="n">
        <v>92</v>
      </c>
      <c r="B93" s="7" t="str">
        <f aca="false">HYPERLINK("https://mncourtfraud.com/file/JS.zip","JS.zip")</f>
        <v>JS.zip</v>
      </c>
      <c r="C93" s="8" t="str">
        <f aca="false">HYPERLINK("https://mncourtfraud.com/file/27-CR-20-27550.pdf","27-CR-20-27550")</f>
        <v>27-CR-20-27550</v>
      </c>
      <c r="D93" s="27" t="n">
        <v>44301</v>
      </c>
      <c r="E93" s="0"/>
      <c r="I93" s="3" t="s">
        <v>1636</v>
      </c>
      <c r="J93" s="3" t="s">
        <v>1616</v>
      </c>
      <c r="K93" s="3" t="s">
        <v>1356</v>
      </c>
      <c r="L93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94" customFormat="false" ht="18.7" hidden="false" customHeight="true" outlineLevel="0" collapsed="false">
      <c r="A94" s="26" t="n">
        <v>93</v>
      </c>
      <c r="B94" s="7" t="str">
        <f aca="false">HYPERLINK("https://mncourtfraud.com/file/JS.zip","JS.zip")</f>
        <v>JS.zip</v>
      </c>
      <c r="C94" s="8" t="str">
        <f aca="false">HYPERLINK("https://mncourtfraud.com/file/27-CR-20-27550.pdf","27-CR-20-27550")</f>
        <v>27-CR-20-27550</v>
      </c>
      <c r="D94" s="27" t="n">
        <v>44301</v>
      </c>
      <c r="E94" s="0"/>
      <c r="I94" s="3" t="s">
        <v>1636</v>
      </c>
      <c r="J94" s="3" t="s">
        <v>1617</v>
      </c>
      <c r="K94" s="3" t="s">
        <v>1356</v>
      </c>
      <c r="L94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95" customFormat="false" ht="18.7" hidden="false" customHeight="true" outlineLevel="0" collapsed="false">
      <c r="A95" s="26" t="n">
        <v>94</v>
      </c>
      <c r="B95" s="7" t="str">
        <f aca="false">HYPERLINK("https://mncourtfraud.com/file/JS.zip","JS.zip")</f>
        <v>JS.zip</v>
      </c>
      <c r="C95" s="8" t="str">
        <f aca="false">HYPERLINK("https://mncourtfraud.com/file/27-CR-20-27550.pdf","27-CR-20-27550")</f>
        <v>27-CR-20-27550</v>
      </c>
      <c r="D95" s="27" t="n">
        <v>44301</v>
      </c>
      <c r="E95" s="0"/>
      <c r="I95" s="3" t="s">
        <v>1636</v>
      </c>
      <c r="J95" s="3" t="s">
        <v>1618</v>
      </c>
      <c r="K95" s="3" t="s">
        <v>1356</v>
      </c>
      <c r="L95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96" customFormat="false" ht="18.7" hidden="false" customHeight="true" outlineLevel="0" collapsed="false">
      <c r="A96" s="26" t="n">
        <v>95</v>
      </c>
      <c r="B96" s="7" t="str">
        <f aca="false">HYPERLINK("https://mncourtfraud.com/file/JS.zip","JS.zip")</f>
        <v>JS.zip</v>
      </c>
      <c r="C96" s="8" t="str">
        <f aca="false">HYPERLINK("https://mncourtfraud.com/file/27-CR-20-27550.pdf","27-CR-20-27550")</f>
        <v>27-CR-20-27550</v>
      </c>
      <c r="D96" s="27" t="n">
        <v>44301</v>
      </c>
      <c r="E96" s="0"/>
      <c r="I96" s="3" t="s">
        <v>1636</v>
      </c>
      <c r="J96" s="3" t="s">
        <v>1619</v>
      </c>
      <c r="K96" s="3" t="s">
        <v>1356</v>
      </c>
      <c r="L96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97" customFormat="false" ht="18.7" hidden="false" customHeight="true" outlineLevel="0" collapsed="false">
      <c r="A97" s="26" t="n">
        <v>96</v>
      </c>
      <c r="B97" s="7" t="str">
        <f aca="false">HYPERLINK("https://mncourtfraud.com/file/JS.zip","JS.zip")</f>
        <v>JS.zip</v>
      </c>
      <c r="C97" s="8" t="str">
        <f aca="false">HYPERLINK("https://mncourtfraud.com/file/27-CR-20-27550.pdf","27-CR-20-27550")</f>
        <v>27-CR-20-27550</v>
      </c>
      <c r="D97" s="27" t="n">
        <v>44301</v>
      </c>
      <c r="E97" s="0"/>
      <c r="I97" s="3" t="s">
        <v>1636</v>
      </c>
      <c r="J97" s="3" t="s">
        <v>1620</v>
      </c>
      <c r="K97" s="3" t="s">
        <v>1356</v>
      </c>
      <c r="L97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98" customFormat="false" ht="18.7" hidden="false" customHeight="true" outlineLevel="0" collapsed="false">
      <c r="A98" s="26" t="n">
        <v>97</v>
      </c>
      <c r="B98" s="7" t="str">
        <f aca="false">HYPERLINK("https://mncourtfraud.com/file/JS.zip","JS.zip")</f>
        <v>JS.zip</v>
      </c>
      <c r="C98" s="8" t="str">
        <f aca="false">HYPERLINK("https://mncourtfraud.com/file/27-CR-20-27550.pdf","27-CR-20-27550")</f>
        <v>27-CR-20-27550</v>
      </c>
      <c r="D98" s="27" t="n">
        <v>44301</v>
      </c>
      <c r="E98" s="0"/>
      <c r="I98" s="3" t="s">
        <v>1636</v>
      </c>
      <c r="J98" s="3" t="s">
        <v>1621</v>
      </c>
      <c r="K98" s="3" t="s">
        <v>1356</v>
      </c>
      <c r="L98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99" customFormat="false" ht="18.7" hidden="false" customHeight="true" outlineLevel="0" collapsed="false">
      <c r="A99" s="26" t="n">
        <v>98</v>
      </c>
      <c r="B99" s="7" t="str">
        <f aca="false">HYPERLINK("https://mncourtfraud.com/file/JS.zip","JS.zip")</f>
        <v>JS.zip</v>
      </c>
      <c r="C99" s="8" t="str">
        <f aca="false">HYPERLINK("https://mncourtfraud.com/file/27-CR-20-27550.pdf","27-CR-20-27550")</f>
        <v>27-CR-20-27550</v>
      </c>
      <c r="D99" s="27" t="n">
        <v>44301</v>
      </c>
      <c r="E99" s="0"/>
      <c r="I99" s="3" t="s">
        <v>1636</v>
      </c>
      <c r="J99" s="3" t="s">
        <v>1622</v>
      </c>
      <c r="K99" s="3" t="s">
        <v>1356</v>
      </c>
      <c r="L99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00" customFormat="false" ht="18.7" hidden="false" customHeight="true" outlineLevel="0" collapsed="false">
      <c r="A100" s="26" t="n">
        <v>99</v>
      </c>
      <c r="B100" s="7" t="str">
        <f aca="false">HYPERLINK("https://mncourtfraud.com/file/JS.zip","JS.zip")</f>
        <v>JS.zip</v>
      </c>
      <c r="C100" s="8" t="str">
        <f aca="false">HYPERLINK("https://mncourtfraud.com/file/27-CR-20-27550.pdf","27-CR-20-27550")</f>
        <v>27-CR-20-27550</v>
      </c>
      <c r="D100" s="27" t="n">
        <v>44301</v>
      </c>
      <c r="E100" s="0"/>
      <c r="I100" s="3" t="s">
        <v>1636</v>
      </c>
      <c r="J100" s="3" t="s">
        <v>1623</v>
      </c>
      <c r="K100" s="3" t="s">
        <v>1356</v>
      </c>
      <c r="L100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01" customFormat="false" ht="18.7" hidden="false" customHeight="true" outlineLevel="0" collapsed="false">
      <c r="A101" s="29" t="n">
        <v>100</v>
      </c>
      <c r="B101" s="30" t="str">
        <f aca="false">HYPERLINK("https://mncourtfraud.com/file/JS.zip","JS.zip")</f>
        <v>JS.zip</v>
      </c>
      <c r="C101" s="31" t="str">
        <f aca="false">HYPERLINK("https://mncourtfraud.com/file/27-CR-20-27550.pdf","27-CR-20-27550")</f>
        <v>27-CR-20-27550</v>
      </c>
      <c r="D101" s="32" t="n">
        <v>44301</v>
      </c>
      <c r="E101" s="41"/>
      <c r="F101" s="34"/>
      <c r="G101" s="34"/>
      <c r="H101" s="34"/>
      <c r="I101" s="33" t="s">
        <v>1636</v>
      </c>
      <c r="J101" s="33" t="s">
        <v>1638</v>
      </c>
      <c r="K101" s="33" t="s">
        <v>1356</v>
      </c>
      <c r="L101" s="35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02" s="18" customFormat="true" ht="18.7" hidden="false" customHeight="true" outlineLevel="0" collapsed="false">
      <c r="A102" s="36" t="n">
        <v>101</v>
      </c>
      <c r="B102" s="37"/>
      <c r="C102" s="38"/>
      <c r="D102" s="39"/>
      <c r="E102" s="42"/>
      <c r="F102" s="36"/>
      <c r="G102" s="36"/>
      <c r="H102" s="36"/>
      <c r="I102" s="38"/>
      <c r="J102" s="38"/>
      <c r="K102" s="38"/>
      <c r="L102" s="38"/>
      <c r="AMJ102" s="0"/>
    </row>
    <row r="103" customFormat="false" ht="18.7" hidden="false" customHeight="true" outlineLevel="0" collapsed="false">
      <c r="A103" s="19" t="n">
        <v>102</v>
      </c>
      <c r="B103" s="20" t="str">
        <f aca="false">HYPERLINK("https://mncourtfraud.com/file/JS.zip","JS.zip")</f>
        <v>JS.zip</v>
      </c>
      <c r="C103" s="21" t="str">
        <f aca="false">HYPERLINK("https://mncourtfraud.com/file/27-CR-20-27550.pdf","27-CR-20-27550")</f>
        <v>27-CR-20-27550</v>
      </c>
      <c r="D103" s="22" t="n">
        <v>44301</v>
      </c>
      <c r="E103" s="40"/>
      <c r="F103" s="24"/>
      <c r="G103" s="24"/>
      <c r="H103" s="24"/>
      <c r="I103" s="23" t="s">
        <v>1639</v>
      </c>
      <c r="J103" s="23" t="s">
        <v>1639</v>
      </c>
      <c r="K103" s="23" t="s">
        <v>1356</v>
      </c>
      <c r="L103" s="25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04" customFormat="false" ht="18.7" hidden="false" customHeight="true" outlineLevel="0" collapsed="false">
      <c r="A104" s="26" t="n">
        <v>103</v>
      </c>
      <c r="B104" s="7" t="str">
        <f aca="false">HYPERLINK("https://mncourtfraud.com/file/JS.zip","JS.zip")</f>
        <v>JS.zip</v>
      </c>
      <c r="C104" s="8" t="str">
        <f aca="false">HYPERLINK("https://mncourtfraud.com/file/27-CR-20-27550.pdf","27-CR-20-27550")</f>
        <v>27-CR-20-27550</v>
      </c>
      <c r="D104" s="27" t="n">
        <v>44301</v>
      </c>
      <c r="E104" s="0"/>
      <c r="I104" s="3" t="s">
        <v>1639</v>
      </c>
      <c r="J104" s="3" t="s">
        <v>1640</v>
      </c>
      <c r="K104" s="3" t="s">
        <v>1356</v>
      </c>
      <c r="L104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05" customFormat="false" ht="18.7" hidden="false" customHeight="true" outlineLevel="0" collapsed="false">
      <c r="A105" s="26" t="n">
        <v>104</v>
      </c>
      <c r="B105" s="7" t="str">
        <f aca="false">HYPERLINK("https://mncourtfraud.com/file/JS.zip","JS.zip")</f>
        <v>JS.zip</v>
      </c>
      <c r="C105" s="8" t="str">
        <f aca="false">HYPERLINK("https://mncourtfraud.com/file/27-CR-20-27550.pdf","27-CR-20-27550")</f>
        <v>27-CR-20-27550</v>
      </c>
      <c r="D105" s="27" t="n">
        <v>44301</v>
      </c>
      <c r="E105" s="0"/>
      <c r="I105" s="3" t="s">
        <v>1639</v>
      </c>
      <c r="J105" s="3" t="s">
        <v>1611</v>
      </c>
      <c r="K105" s="3" t="s">
        <v>1356</v>
      </c>
      <c r="L105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06" customFormat="false" ht="18.7" hidden="false" customHeight="true" outlineLevel="0" collapsed="false">
      <c r="A106" s="26" t="n">
        <v>105</v>
      </c>
      <c r="B106" s="7" t="str">
        <f aca="false">HYPERLINK("https://mncourtfraud.com/file/JS.zip","JS.zip")</f>
        <v>JS.zip</v>
      </c>
      <c r="C106" s="8" t="str">
        <f aca="false">HYPERLINK("https://mncourtfraud.com/file/27-CR-20-27550.pdf","27-CR-20-27550")</f>
        <v>27-CR-20-27550</v>
      </c>
      <c r="D106" s="27" t="n">
        <v>44301</v>
      </c>
      <c r="E106" s="0"/>
      <c r="I106" s="3" t="s">
        <v>1639</v>
      </c>
      <c r="J106" s="3" t="s">
        <v>1629</v>
      </c>
      <c r="K106" s="3" t="s">
        <v>1356</v>
      </c>
      <c r="L106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07" customFormat="false" ht="18.7" hidden="false" customHeight="true" outlineLevel="0" collapsed="false">
      <c r="A107" s="26" t="n">
        <v>106</v>
      </c>
      <c r="B107" s="7" t="str">
        <f aca="false">HYPERLINK("https://mncourtfraud.com/file/JS.zip","JS.zip")</f>
        <v>JS.zip</v>
      </c>
      <c r="C107" s="8" t="str">
        <f aca="false">HYPERLINK("https://mncourtfraud.com/file/27-CR-20-27550.pdf","27-CR-20-27550")</f>
        <v>27-CR-20-27550</v>
      </c>
      <c r="D107" s="27" t="n">
        <v>44301</v>
      </c>
      <c r="E107" s="0"/>
      <c r="I107" s="3" t="s">
        <v>1639</v>
      </c>
      <c r="J107" s="3" t="s">
        <v>1613</v>
      </c>
      <c r="K107" s="3" t="s">
        <v>1356</v>
      </c>
      <c r="L107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08" customFormat="false" ht="18.7" hidden="false" customHeight="true" outlineLevel="0" collapsed="false">
      <c r="A108" s="26" t="n">
        <v>107</v>
      </c>
      <c r="B108" s="7" t="str">
        <f aca="false">HYPERLINK("https://mncourtfraud.com/file/JS.zip","JS.zip")</f>
        <v>JS.zip</v>
      </c>
      <c r="C108" s="8" t="str">
        <f aca="false">HYPERLINK("https://mncourtfraud.com/file/27-CR-20-27550.pdf","27-CR-20-27550")</f>
        <v>27-CR-20-27550</v>
      </c>
      <c r="D108" s="27" t="n">
        <v>44301</v>
      </c>
      <c r="E108" s="0"/>
      <c r="I108" s="3" t="s">
        <v>1639</v>
      </c>
      <c r="J108" s="3" t="s">
        <v>1630</v>
      </c>
      <c r="K108" s="3" t="s">
        <v>1356</v>
      </c>
      <c r="L108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09" customFormat="false" ht="18.7" hidden="false" customHeight="true" outlineLevel="0" collapsed="false">
      <c r="A109" s="26" t="n">
        <v>108</v>
      </c>
      <c r="B109" s="7" t="str">
        <f aca="false">HYPERLINK("https://mncourtfraud.com/file/JS.zip","JS.zip")</f>
        <v>JS.zip</v>
      </c>
      <c r="C109" s="8" t="str">
        <f aca="false">HYPERLINK("https://mncourtfraud.com/file/27-CR-20-27550.pdf","27-CR-20-27550")</f>
        <v>27-CR-20-27550</v>
      </c>
      <c r="D109" s="27" t="n">
        <v>44301</v>
      </c>
      <c r="E109" s="0"/>
      <c r="I109" s="3" t="s">
        <v>1639</v>
      </c>
      <c r="J109" s="3" t="s">
        <v>1615</v>
      </c>
      <c r="K109" s="3" t="s">
        <v>1356</v>
      </c>
      <c r="L109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10" customFormat="false" ht="18.7" hidden="false" customHeight="true" outlineLevel="0" collapsed="false">
      <c r="A110" s="26" t="n">
        <v>109</v>
      </c>
      <c r="B110" s="7" t="str">
        <f aca="false">HYPERLINK("https://mncourtfraud.com/file/JS.zip","JS.zip")</f>
        <v>JS.zip</v>
      </c>
      <c r="C110" s="8" t="str">
        <f aca="false">HYPERLINK("https://mncourtfraud.com/file/27-CR-20-27550.pdf","27-CR-20-27550")</f>
        <v>27-CR-20-27550</v>
      </c>
      <c r="D110" s="27" t="n">
        <v>44301</v>
      </c>
      <c r="E110" s="0"/>
      <c r="I110" s="3" t="s">
        <v>1639</v>
      </c>
      <c r="J110" s="3" t="s">
        <v>1616</v>
      </c>
      <c r="K110" s="3" t="s">
        <v>1356</v>
      </c>
      <c r="L110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11" customFormat="false" ht="18.7" hidden="false" customHeight="true" outlineLevel="0" collapsed="false">
      <c r="A111" s="26" t="n">
        <v>110</v>
      </c>
      <c r="B111" s="7" t="str">
        <f aca="false">HYPERLINK("https://mncourtfraud.com/file/JS.zip","JS.zip")</f>
        <v>JS.zip</v>
      </c>
      <c r="C111" s="8" t="str">
        <f aca="false">HYPERLINK("https://mncourtfraud.com/file/27-CR-20-27550.pdf","27-CR-20-27550")</f>
        <v>27-CR-20-27550</v>
      </c>
      <c r="D111" s="27" t="n">
        <v>44301</v>
      </c>
      <c r="E111" s="0"/>
      <c r="I111" s="3" t="s">
        <v>1639</v>
      </c>
      <c r="J111" s="3" t="s">
        <v>1617</v>
      </c>
      <c r="K111" s="3" t="s">
        <v>1356</v>
      </c>
      <c r="L111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12" customFormat="false" ht="18.7" hidden="false" customHeight="true" outlineLevel="0" collapsed="false">
      <c r="A112" s="26" t="n">
        <v>111</v>
      </c>
      <c r="B112" s="7" t="str">
        <f aca="false">HYPERLINK("https://mncourtfraud.com/file/JS.zip","JS.zip")</f>
        <v>JS.zip</v>
      </c>
      <c r="C112" s="8" t="str">
        <f aca="false">HYPERLINK("https://mncourtfraud.com/file/27-CR-20-27550.pdf","27-CR-20-27550")</f>
        <v>27-CR-20-27550</v>
      </c>
      <c r="D112" s="27" t="n">
        <v>44301</v>
      </c>
      <c r="E112" s="0"/>
      <c r="I112" s="3" t="s">
        <v>1639</v>
      </c>
      <c r="J112" s="3" t="s">
        <v>1618</v>
      </c>
      <c r="K112" s="3" t="s">
        <v>1356</v>
      </c>
      <c r="L112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13" customFormat="false" ht="18.7" hidden="false" customHeight="true" outlineLevel="0" collapsed="false">
      <c r="A113" s="26" t="n">
        <v>112</v>
      </c>
      <c r="B113" s="7" t="str">
        <f aca="false">HYPERLINK("https://mncourtfraud.com/file/JS.zip","JS.zip")</f>
        <v>JS.zip</v>
      </c>
      <c r="C113" s="8" t="str">
        <f aca="false">HYPERLINK("https://mncourtfraud.com/file/27-CR-20-27550.pdf","27-CR-20-27550")</f>
        <v>27-CR-20-27550</v>
      </c>
      <c r="D113" s="27" t="n">
        <v>44301</v>
      </c>
      <c r="E113" s="0"/>
      <c r="I113" s="3" t="s">
        <v>1639</v>
      </c>
      <c r="J113" s="3" t="s">
        <v>1631</v>
      </c>
      <c r="K113" s="3" t="s">
        <v>1356</v>
      </c>
      <c r="L113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14" customFormat="false" ht="18.7" hidden="false" customHeight="true" outlineLevel="0" collapsed="false">
      <c r="A114" s="26" t="n">
        <v>113</v>
      </c>
      <c r="B114" s="7" t="str">
        <f aca="false">HYPERLINK("https://mncourtfraud.com/file/JS.zip","JS.zip")</f>
        <v>JS.zip</v>
      </c>
      <c r="C114" s="8" t="str">
        <f aca="false">HYPERLINK("https://mncourtfraud.com/file/27-CR-20-27550.pdf","27-CR-20-27550")</f>
        <v>27-CR-20-27550</v>
      </c>
      <c r="D114" s="27" t="n">
        <v>44301</v>
      </c>
      <c r="E114" s="0"/>
      <c r="I114" s="3" t="s">
        <v>1639</v>
      </c>
      <c r="J114" s="3" t="s">
        <v>1632</v>
      </c>
      <c r="K114" s="3" t="s">
        <v>1356</v>
      </c>
      <c r="L114" s="28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15" customFormat="false" ht="18.7" hidden="false" customHeight="true" outlineLevel="0" collapsed="false">
      <c r="A115" s="29" t="n">
        <v>114</v>
      </c>
      <c r="B115" s="30" t="str">
        <f aca="false">HYPERLINK("https://mncourtfraud.com/file/JS.zip","JS.zip")</f>
        <v>JS.zip</v>
      </c>
      <c r="C115" s="31" t="str">
        <f aca="false">HYPERLINK("https://mncourtfraud.com/file/27-CR-20-27550.pdf","27-CR-20-27550")</f>
        <v>27-CR-20-27550</v>
      </c>
      <c r="D115" s="32" t="n">
        <v>44301</v>
      </c>
      <c r="E115" s="41"/>
      <c r="F115" s="34"/>
      <c r="G115" s="34"/>
      <c r="H115" s="34"/>
      <c r="I115" s="33" t="s">
        <v>1639</v>
      </c>
      <c r="J115" s="33" t="s">
        <v>1624</v>
      </c>
      <c r="K115" s="33" t="s">
        <v>1356</v>
      </c>
      <c r="L115" s="35" t="str">
        <f aca="false">HYPERLINK("https://mncourtfraud.com/file/MCRO_27-CR-20-27550_Order for Conditional Release_2021-04-15_20240430090720.pdf.decomp.pdf","MCRO_27-CR-20-27550_Order for Conditional Release_2021-04-15_20240430090720.pdf.decomp.pdf")</f>
        <v>MCRO_27-CR-20-27550_Order for Conditional Release_2021-04-15_20240430090720.pdf.decomp.pdf</v>
      </c>
    </row>
    <row r="116" s="18" customFormat="true" ht="18.7" hidden="false" customHeight="true" outlineLevel="0" collapsed="false">
      <c r="A116" s="43"/>
      <c r="B116" s="37"/>
      <c r="C116" s="44"/>
      <c r="D116" s="38"/>
      <c r="E116" s="45"/>
      <c r="F116" s="36"/>
      <c r="G116" s="36"/>
      <c r="H116" s="36"/>
      <c r="I116" s="38"/>
      <c r="J116" s="45"/>
      <c r="K116" s="44"/>
      <c r="L116" s="45"/>
      <c r="AMJ116" s="0"/>
    </row>
    <row r="117" s="18" customFormat="true" ht="18.7" hidden="false" customHeight="true" outlineLevel="0" collapsed="false">
      <c r="A117" s="43"/>
      <c r="B117" s="37"/>
      <c r="C117" s="44"/>
      <c r="D117" s="38"/>
      <c r="E117" s="45"/>
      <c r="F117" s="36"/>
      <c r="G117" s="36"/>
      <c r="H117" s="36"/>
      <c r="I117" s="38"/>
      <c r="J117" s="45"/>
      <c r="K117" s="44"/>
      <c r="L117" s="45"/>
      <c r="AMJ117" s="0"/>
    </row>
    <row r="118" s="18" customFormat="true" ht="18.7" hidden="false" customHeight="true" outlineLevel="0" collapsed="false">
      <c r="A118" s="43"/>
      <c r="B118" s="37"/>
      <c r="C118" s="44"/>
      <c r="D118" s="38"/>
      <c r="E118" s="45"/>
      <c r="F118" s="36"/>
      <c r="G118" s="36"/>
      <c r="H118" s="36"/>
      <c r="I118" s="38"/>
      <c r="J118" s="45"/>
      <c r="K118" s="44"/>
      <c r="L118" s="45"/>
      <c r="AMJ118" s="0"/>
    </row>
    <row r="119" s="18" customFormat="true" ht="18.7" hidden="false" customHeight="true" outlineLevel="0" collapsed="false">
      <c r="A119" s="43"/>
      <c r="B119" s="37"/>
      <c r="C119" s="44"/>
      <c r="D119" s="38"/>
      <c r="E119" s="45"/>
      <c r="F119" s="36"/>
      <c r="G119" s="36"/>
      <c r="H119" s="36"/>
      <c r="I119" s="38"/>
      <c r="J119" s="45"/>
      <c r="K119" s="44"/>
      <c r="L119" s="45"/>
      <c r="AMJ119" s="0"/>
    </row>
    <row r="120" s="18" customFormat="true" ht="18.7" hidden="false" customHeight="true" outlineLevel="0" collapsed="false">
      <c r="A120" s="43"/>
      <c r="B120" s="37"/>
      <c r="C120" s="44"/>
      <c r="D120" s="38"/>
      <c r="E120" s="45"/>
      <c r="F120" s="36"/>
      <c r="G120" s="36"/>
      <c r="H120" s="36"/>
      <c r="I120" s="38"/>
      <c r="J120" s="45"/>
      <c r="K120" s="44"/>
      <c r="L120" s="45"/>
      <c r="AMJ120" s="0"/>
    </row>
    <row r="121" s="18" customFormat="true" ht="18.7" hidden="false" customHeight="true" outlineLevel="0" collapsed="false">
      <c r="A121" s="43"/>
      <c r="B121" s="37"/>
      <c r="C121" s="44"/>
      <c r="D121" s="38"/>
      <c r="E121" s="45"/>
      <c r="F121" s="36"/>
      <c r="G121" s="36"/>
      <c r="H121" s="36"/>
      <c r="I121" s="38"/>
      <c r="J121" s="45"/>
      <c r="K121" s="44"/>
      <c r="L121" s="45"/>
      <c r="AMJ121" s="0"/>
    </row>
    <row r="122" s="18" customFormat="true" ht="18.7" hidden="false" customHeight="true" outlineLevel="0" collapsed="false">
      <c r="A122" s="43"/>
      <c r="B122" s="37"/>
      <c r="C122" s="44"/>
      <c r="D122" s="38"/>
      <c r="E122" s="45"/>
      <c r="F122" s="36"/>
      <c r="G122" s="36"/>
      <c r="H122" s="36"/>
      <c r="I122" s="38"/>
      <c r="J122" s="45"/>
      <c r="K122" s="44"/>
      <c r="L122" s="45"/>
      <c r="AMJ122" s="0"/>
    </row>
    <row r="123" s="18" customFormat="true" ht="18.7" hidden="false" customHeight="true" outlineLevel="0" collapsed="false">
      <c r="A123" s="43"/>
      <c r="B123" s="37"/>
      <c r="C123" s="44"/>
      <c r="D123" s="38"/>
      <c r="E123" s="45"/>
      <c r="F123" s="36"/>
      <c r="G123" s="36"/>
      <c r="H123" s="36"/>
      <c r="I123" s="38"/>
      <c r="J123" s="45"/>
      <c r="K123" s="44"/>
      <c r="L123" s="45"/>
      <c r="AMJ123" s="0"/>
    </row>
    <row r="124" s="18" customFormat="true" ht="18.7" hidden="false" customHeight="true" outlineLevel="0" collapsed="false">
      <c r="A124" s="43"/>
      <c r="B124" s="37"/>
      <c r="C124" s="44"/>
      <c r="D124" s="38"/>
      <c r="E124" s="45"/>
      <c r="F124" s="36"/>
      <c r="G124" s="36"/>
      <c r="H124" s="36"/>
      <c r="I124" s="38"/>
      <c r="J124" s="45"/>
      <c r="K124" s="44"/>
      <c r="L124" s="45"/>
      <c r="AMJ124" s="0"/>
    </row>
    <row r="125" s="18" customFormat="true" ht="18.7" hidden="false" customHeight="true" outlineLevel="0" collapsed="false">
      <c r="A125" s="43"/>
      <c r="B125" s="37"/>
      <c r="C125" s="44"/>
      <c r="D125" s="38"/>
      <c r="E125" s="45"/>
      <c r="F125" s="36"/>
      <c r="G125" s="36"/>
      <c r="H125" s="36"/>
      <c r="I125" s="38"/>
      <c r="J125" s="45"/>
      <c r="K125" s="44"/>
      <c r="L125" s="45"/>
      <c r="AMJ125" s="0"/>
    </row>
    <row r="126" s="18" customFormat="true" ht="18.7" hidden="false" customHeight="true" outlineLevel="0" collapsed="false">
      <c r="A126" s="43"/>
      <c r="B126" s="37"/>
      <c r="C126" s="44"/>
      <c r="D126" s="38"/>
      <c r="E126" s="45"/>
      <c r="F126" s="36"/>
      <c r="G126" s="36"/>
      <c r="H126" s="36"/>
      <c r="I126" s="38"/>
      <c r="J126" s="45"/>
      <c r="K126" s="44"/>
      <c r="L126" s="45"/>
      <c r="AMJ126" s="0"/>
    </row>
    <row r="127" s="18" customFormat="true" ht="18.7" hidden="false" customHeight="true" outlineLevel="0" collapsed="false">
      <c r="A127" s="43"/>
      <c r="B127" s="37"/>
      <c r="C127" s="44"/>
      <c r="D127" s="38"/>
      <c r="E127" s="45"/>
      <c r="F127" s="36"/>
      <c r="G127" s="36"/>
      <c r="H127" s="36"/>
      <c r="I127" s="38"/>
      <c r="J127" s="45"/>
      <c r="K127" s="44"/>
      <c r="L127" s="45"/>
      <c r="AMJ127" s="0"/>
    </row>
    <row r="128" s="18" customFormat="true" ht="18.7" hidden="false" customHeight="true" outlineLevel="0" collapsed="false">
      <c r="A128" s="43"/>
      <c r="B128" s="37"/>
      <c r="C128" s="44"/>
      <c r="D128" s="38"/>
      <c r="E128" s="45"/>
      <c r="F128" s="36"/>
      <c r="G128" s="36"/>
      <c r="H128" s="36"/>
      <c r="I128" s="38"/>
      <c r="J128" s="45"/>
      <c r="K128" s="44"/>
      <c r="L128" s="45"/>
      <c r="AMJ128" s="0"/>
    </row>
    <row r="129" s="18" customFormat="true" ht="18.7" hidden="false" customHeight="true" outlineLevel="0" collapsed="false">
      <c r="A129" s="43"/>
      <c r="B129" s="37"/>
      <c r="C129" s="44"/>
      <c r="D129" s="38"/>
      <c r="E129" s="45"/>
      <c r="F129" s="36"/>
      <c r="G129" s="36"/>
      <c r="H129" s="36"/>
      <c r="I129" s="38"/>
      <c r="J129" s="45"/>
      <c r="K129" s="44"/>
      <c r="L129" s="45"/>
      <c r="AMJ129" s="0"/>
    </row>
    <row r="130" s="18" customFormat="true" ht="18.7" hidden="false" customHeight="true" outlineLevel="0" collapsed="false">
      <c r="A130" s="43"/>
      <c r="B130" s="37"/>
      <c r="C130" s="44"/>
      <c r="D130" s="38"/>
      <c r="E130" s="45"/>
      <c r="F130" s="36"/>
      <c r="G130" s="36"/>
      <c r="H130" s="36"/>
      <c r="I130" s="38"/>
      <c r="J130" s="45"/>
      <c r="K130" s="44"/>
      <c r="L130" s="45"/>
      <c r="AMJ130" s="0"/>
    </row>
    <row r="131" s="18" customFormat="true" ht="18.7" hidden="false" customHeight="true" outlineLevel="0" collapsed="false">
      <c r="A131" s="43"/>
      <c r="B131" s="37"/>
      <c r="C131" s="44"/>
      <c r="D131" s="38"/>
      <c r="E131" s="45"/>
      <c r="F131" s="36"/>
      <c r="G131" s="36"/>
      <c r="H131" s="36"/>
      <c r="I131" s="38"/>
      <c r="J131" s="45"/>
      <c r="K131" s="44"/>
      <c r="L131" s="45"/>
      <c r="AMJ131" s="0"/>
    </row>
    <row r="132" s="18" customFormat="true" ht="18.7" hidden="false" customHeight="true" outlineLevel="0" collapsed="false">
      <c r="A132" s="43"/>
      <c r="B132" s="37"/>
      <c r="C132" s="44"/>
      <c r="D132" s="38"/>
      <c r="E132" s="45"/>
      <c r="F132" s="36"/>
      <c r="G132" s="36"/>
      <c r="H132" s="36"/>
      <c r="I132" s="38"/>
      <c r="J132" s="45"/>
      <c r="K132" s="44"/>
      <c r="L132" s="45"/>
      <c r="AMJ132" s="0"/>
    </row>
    <row r="133" s="18" customFormat="true" ht="18.7" hidden="false" customHeight="true" outlineLevel="0" collapsed="false">
      <c r="A133" s="43"/>
      <c r="B133" s="37"/>
      <c r="C133" s="44"/>
      <c r="D133" s="38"/>
      <c r="E133" s="45"/>
      <c r="F133" s="36"/>
      <c r="G133" s="36"/>
      <c r="H133" s="36"/>
      <c r="I133" s="38"/>
      <c r="J133" s="45"/>
      <c r="K133" s="44"/>
      <c r="L133" s="45"/>
      <c r="AMJ133" s="0"/>
    </row>
    <row r="134" s="18" customFormat="true" ht="18.7" hidden="false" customHeight="true" outlineLevel="0" collapsed="false">
      <c r="A134" s="43"/>
      <c r="B134" s="37"/>
      <c r="C134" s="44"/>
      <c r="D134" s="38"/>
      <c r="E134" s="45"/>
      <c r="F134" s="36"/>
      <c r="G134" s="36"/>
      <c r="H134" s="36"/>
      <c r="I134" s="38"/>
      <c r="J134" s="45"/>
      <c r="K134" s="44"/>
      <c r="L134" s="45"/>
      <c r="AMJ134" s="0"/>
    </row>
    <row r="135" s="18" customFormat="true" ht="18.7" hidden="false" customHeight="true" outlineLevel="0" collapsed="false">
      <c r="A135" s="43"/>
      <c r="B135" s="37"/>
      <c r="C135" s="44"/>
      <c r="D135" s="38"/>
      <c r="E135" s="45"/>
      <c r="F135" s="36"/>
      <c r="G135" s="36"/>
      <c r="H135" s="36"/>
      <c r="I135" s="38"/>
      <c r="J135" s="45"/>
      <c r="K135" s="44"/>
      <c r="L135" s="45"/>
      <c r="AMJ135" s="0"/>
    </row>
    <row r="136" s="18" customFormat="true" ht="18.7" hidden="false" customHeight="true" outlineLevel="0" collapsed="false">
      <c r="A136" s="43"/>
      <c r="B136" s="37"/>
      <c r="C136" s="44"/>
      <c r="D136" s="38"/>
      <c r="E136" s="45"/>
      <c r="F136" s="36"/>
      <c r="G136" s="36"/>
      <c r="H136" s="36"/>
      <c r="I136" s="38"/>
      <c r="J136" s="45"/>
      <c r="K136" s="44"/>
      <c r="L136" s="45"/>
      <c r="AMJ136" s="0"/>
    </row>
    <row r="137" s="18" customFormat="true" ht="18.7" hidden="false" customHeight="true" outlineLevel="0" collapsed="false">
      <c r="A137" s="43"/>
      <c r="B137" s="37"/>
      <c r="C137" s="44"/>
      <c r="D137" s="38"/>
      <c r="E137" s="45"/>
      <c r="F137" s="36"/>
      <c r="G137" s="36"/>
      <c r="H137" s="36"/>
      <c r="I137" s="38"/>
      <c r="J137" s="45"/>
      <c r="K137" s="44"/>
      <c r="L137" s="45"/>
      <c r="AMJ137" s="0"/>
    </row>
    <row r="138" s="18" customFormat="true" ht="18.7" hidden="false" customHeight="true" outlineLevel="0" collapsed="false">
      <c r="A138" s="43"/>
      <c r="B138" s="37"/>
      <c r="C138" s="44"/>
      <c r="D138" s="38"/>
      <c r="E138" s="45"/>
      <c r="F138" s="36"/>
      <c r="G138" s="36"/>
      <c r="H138" s="36"/>
      <c r="I138" s="38"/>
      <c r="J138" s="45"/>
      <c r="K138" s="44"/>
      <c r="L138" s="45"/>
      <c r="AMJ138" s="0"/>
    </row>
    <row r="139" s="18" customFormat="true" ht="18.7" hidden="false" customHeight="true" outlineLevel="0" collapsed="false">
      <c r="A139" s="43"/>
      <c r="B139" s="37"/>
      <c r="C139" s="44"/>
      <c r="D139" s="38"/>
      <c r="E139" s="45"/>
      <c r="F139" s="36"/>
      <c r="G139" s="36"/>
      <c r="H139" s="36"/>
      <c r="I139" s="38"/>
      <c r="J139" s="45"/>
      <c r="K139" s="44"/>
      <c r="L139" s="45"/>
      <c r="AMJ139" s="0"/>
    </row>
    <row r="140" s="18" customFormat="true" ht="18.7" hidden="false" customHeight="true" outlineLevel="0" collapsed="false">
      <c r="A140" s="43"/>
      <c r="B140" s="37"/>
      <c r="C140" s="44"/>
      <c r="D140" s="38"/>
      <c r="E140" s="45"/>
      <c r="F140" s="36"/>
      <c r="G140" s="36"/>
      <c r="H140" s="36"/>
      <c r="I140" s="38"/>
      <c r="J140" s="45"/>
      <c r="K140" s="44"/>
      <c r="L140" s="45"/>
      <c r="AMJ140" s="0"/>
    </row>
    <row r="141" s="18" customFormat="true" ht="18.7" hidden="false" customHeight="true" outlineLevel="0" collapsed="false">
      <c r="A141" s="43"/>
      <c r="B141" s="37"/>
      <c r="C141" s="44"/>
      <c r="D141" s="38"/>
      <c r="E141" s="45"/>
      <c r="F141" s="36"/>
      <c r="G141" s="36"/>
      <c r="H141" s="36"/>
      <c r="I141" s="38"/>
      <c r="J141" s="45"/>
      <c r="K141" s="44"/>
      <c r="L141" s="45"/>
      <c r="AMJ141" s="0"/>
    </row>
    <row r="142" s="18" customFormat="true" ht="18.7" hidden="false" customHeight="true" outlineLevel="0" collapsed="false">
      <c r="A142" s="43"/>
      <c r="B142" s="37"/>
      <c r="C142" s="44"/>
      <c r="D142" s="38"/>
      <c r="E142" s="45"/>
      <c r="F142" s="36"/>
      <c r="G142" s="36"/>
      <c r="H142" s="36"/>
      <c r="I142" s="38"/>
      <c r="J142" s="45"/>
      <c r="K142" s="44"/>
      <c r="L142" s="45"/>
      <c r="AMJ142" s="0"/>
    </row>
    <row r="143" s="18" customFormat="true" ht="18.7" hidden="false" customHeight="true" outlineLevel="0" collapsed="false">
      <c r="A143" s="43"/>
      <c r="B143" s="37"/>
      <c r="C143" s="44"/>
      <c r="D143" s="38"/>
      <c r="E143" s="45"/>
      <c r="F143" s="36"/>
      <c r="G143" s="36"/>
      <c r="H143" s="36"/>
      <c r="I143" s="38"/>
      <c r="J143" s="45"/>
      <c r="K143" s="44"/>
      <c r="L143" s="45"/>
      <c r="AMJ143" s="0"/>
    </row>
    <row r="144" s="18" customFormat="true" ht="18.7" hidden="false" customHeight="true" outlineLevel="0" collapsed="false">
      <c r="A144" s="43"/>
      <c r="B144" s="37"/>
      <c r="C144" s="44"/>
      <c r="D144" s="38"/>
      <c r="E144" s="45"/>
      <c r="F144" s="36"/>
      <c r="G144" s="36"/>
      <c r="H144" s="36"/>
      <c r="I144" s="38"/>
      <c r="J144" s="45"/>
      <c r="K144" s="44"/>
      <c r="L144" s="45"/>
      <c r="AMJ144" s="0"/>
    </row>
    <row r="145" s="18" customFormat="true" ht="18.7" hidden="false" customHeight="true" outlineLevel="0" collapsed="false">
      <c r="A145" s="43"/>
      <c r="B145" s="37"/>
      <c r="C145" s="44"/>
      <c r="D145" s="38"/>
      <c r="E145" s="45"/>
      <c r="F145" s="36"/>
      <c r="G145" s="36"/>
      <c r="H145" s="36"/>
      <c r="I145" s="38"/>
      <c r="J145" s="45"/>
      <c r="K145" s="44"/>
      <c r="L145" s="45"/>
      <c r="AMJ145" s="0"/>
    </row>
    <row r="146" s="18" customFormat="true" ht="18.7" hidden="false" customHeight="true" outlineLevel="0" collapsed="false">
      <c r="A146" s="43"/>
      <c r="B146" s="37"/>
      <c r="C146" s="44"/>
      <c r="D146" s="38"/>
      <c r="E146" s="45"/>
      <c r="F146" s="36"/>
      <c r="G146" s="36"/>
      <c r="H146" s="36"/>
      <c r="I146" s="38"/>
      <c r="J146" s="45"/>
      <c r="K146" s="44"/>
      <c r="L146" s="45"/>
      <c r="AMJ146" s="0"/>
    </row>
    <row r="147" s="18" customFormat="true" ht="18.7" hidden="false" customHeight="true" outlineLevel="0" collapsed="false">
      <c r="A147" s="43"/>
      <c r="B147" s="37"/>
      <c r="C147" s="44"/>
      <c r="D147" s="38"/>
      <c r="E147" s="45"/>
      <c r="F147" s="36"/>
      <c r="G147" s="36"/>
      <c r="H147" s="36"/>
      <c r="I147" s="38"/>
      <c r="J147" s="45"/>
      <c r="K147" s="44"/>
      <c r="L147" s="45"/>
      <c r="AMJ147" s="0"/>
    </row>
    <row r="148" s="18" customFormat="true" ht="18.7" hidden="false" customHeight="true" outlineLevel="0" collapsed="false">
      <c r="A148" s="43"/>
      <c r="B148" s="37"/>
      <c r="C148" s="44"/>
      <c r="D148" s="38"/>
      <c r="E148" s="45"/>
      <c r="F148" s="36"/>
      <c r="G148" s="36"/>
      <c r="H148" s="36"/>
      <c r="I148" s="38"/>
      <c r="J148" s="45"/>
      <c r="K148" s="44"/>
      <c r="L148" s="45"/>
      <c r="AMJ148" s="0"/>
    </row>
    <row r="149" s="18" customFormat="true" ht="18.7" hidden="false" customHeight="true" outlineLevel="0" collapsed="false">
      <c r="A149" s="43"/>
      <c r="B149" s="37"/>
      <c r="C149" s="44"/>
      <c r="D149" s="38"/>
      <c r="E149" s="45"/>
      <c r="F149" s="36"/>
      <c r="G149" s="36"/>
      <c r="H149" s="36"/>
      <c r="I149" s="38"/>
      <c r="J149" s="45"/>
      <c r="K149" s="44"/>
      <c r="L149" s="45"/>
      <c r="AMJ149" s="0"/>
    </row>
    <row r="150" s="18" customFormat="true" ht="18.7" hidden="false" customHeight="true" outlineLevel="0" collapsed="false">
      <c r="A150" s="43"/>
      <c r="B150" s="37"/>
      <c r="C150" s="44"/>
      <c r="D150" s="38"/>
      <c r="E150" s="45"/>
      <c r="F150" s="36"/>
      <c r="G150" s="36"/>
      <c r="H150" s="36"/>
      <c r="I150" s="38"/>
      <c r="J150" s="45"/>
      <c r="K150" s="44"/>
      <c r="L150" s="45"/>
      <c r="AMJ150" s="0"/>
    </row>
    <row r="151" s="18" customFormat="true" ht="18.7" hidden="false" customHeight="true" outlineLevel="0" collapsed="false">
      <c r="A151" s="43"/>
      <c r="B151" s="37"/>
      <c r="C151" s="44"/>
      <c r="D151" s="38"/>
      <c r="E151" s="45"/>
      <c r="F151" s="36"/>
      <c r="G151" s="36"/>
      <c r="H151" s="36"/>
      <c r="I151" s="38"/>
      <c r="J151" s="45"/>
      <c r="K151" s="44"/>
      <c r="L151" s="45"/>
      <c r="AMJ151" s="0"/>
    </row>
    <row r="152" s="18" customFormat="true" ht="18.7" hidden="false" customHeight="true" outlineLevel="0" collapsed="false">
      <c r="A152" s="43"/>
      <c r="B152" s="37"/>
      <c r="C152" s="44"/>
      <c r="D152" s="38"/>
      <c r="E152" s="45"/>
      <c r="F152" s="36"/>
      <c r="G152" s="36"/>
      <c r="H152" s="36"/>
      <c r="I152" s="38"/>
      <c r="J152" s="45"/>
      <c r="K152" s="44"/>
      <c r="L152" s="45"/>
      <c r="AMJ152" s="0"/>
    </row>
    <row r="153" s="18" customFormat="true" ht="18.7" hidden="false" customHeight="true" outlineLevel="0" collapsed="false">
      <c r="A153" s="43"/>
      <c r="B153" s="37"/>
      <c r="C153" s="44"/>
      <c r="D153" s="38"/>
      <c r="E153" s="45"/>
      <c r="F153" s="36"/>
      <c r="G153" s="36"/>
      <c r="H153" s="36"/>
      <c r="I153" s="38"/>
      <c r="J153" s="45"/>
      <c r="K153" s="44"/>
      <c r="L153" s="45"/>
      <c r="AMJ153" s="0"/>
    </row>
    <row r="154" s="18" customFormat="true" ht="18.7" hidden="false" customHeight="true" outlineLevel="0" collapsed="false">
      <c r="A154" s="43"/>
      <c r="B154" s="37"/>
      <c r="C154" s="44"/>
      <c r="D154" s="38"/>
      <c r="E154" s="45"/>
      <c r="F154" s="36"/>
      <c r="G154" s="36"/>
      <c r="H154" s="36"/>
      <c r="I154" s="38"/>
      <c r="J154" s="45"/>
      <c r="K154" s="44"/>
      <c r="L154" s="45"/>
      <c r="AMJ154" s="0"/>
    </row>
    <row r="155" s="18" customFormat="true" ht="18.7" hidden="false" customHeight="true" outlineLevel="0" collapsed="false">
      <c r="A155" s="43"/>
      <c r="B155" s="37"/>
      <c r="C155" s="44"/>
      <c r="D155" s="38"/>
      <c r="E155" s="45"/>
      <c r="F155" s="36"/>
      <c r="G155" s="36"/>
      <c r="H155" s="36"/>
      <c r="I155" s="38"/>
      <c r="J155" s="45"/>
      <c r="K155" s="44"/>
      <c r="L155" s="45"/>
      <c r="AMJ155" s="0"/>
    </row>
    <row r="156" s="18" customFormat="true" ht="18.7" hidden="false" customHeight="true" outlineLevel="0" collapsed="false">
      <c r="A156" s="43"/>
      <c r="B156" s="37"/>
      <c r="C156" s="44"/>
      <c r="D156" s="38"/>
      <c r="E156" s="45"/>
      <c r="F156" s="36"/>
      <c r="G156" s="36"/>
      <c r="H156" s="36"/>
      <c r="I156" s="38"/>
      <c r="J156" s="45"/>
      <c r="K156" s="44"/>
      <c r="L156" s="45"/>
      <c r="AMJ156" s="0"/>
    </row>
    <row r="157" s="18" customFormat="true" ht="18.7" hidden="false" customHeight="true" outlineLevel="0" collapsed="false">
      <c r="A157" s="43"/>
      <c r="B157" s="37"/>
      <c r="C157" s="44"/>
      <c r="D157" s="38"/>
      <c r="E157" s="45"/>
      <c r="F157" s="36"/>
      <c r="G157" s="36"/>
      <c r="H157" s="36"/>
      <c r="I157" s="38"/>
      <c r="J157" s="45"/>
      <c r="K157" s="44"/>
      <c r="L157" s="45"/>
      <c r="AMJ157" s="0"/>
    </row>
    <row r="158" s="18" customFormat="true" ht="18.7" hidden="false" customHeight="true" outlineLevel="0" collapsed="false">
      <c r="A158" s="43"/>
      <c r="B158" s="37"/>
      <c r="C158" s="44"/>
      <c r="D158" s="38"/>
      <c r="E158" s="45"/>
      <c r="F158" s="36"/>
      <c r="G158" s="36"/>
      <c r="H158" s="36"/>
      <c r="I158" s="38"/>
      <c r="J158" s="45"/>
      <c r="K158" s="44"/>
      <c r="L158" s="45"/>
      <c r="AMJ158" s="0"/>
    </row>
    <row r="159" s="18" customFormat="true" ht="18.7" hidden="false" customHeight="true" outlineLevel="0" collapsed="false">
      <c r="A159" s="43"/>
      <c r="B159" s="37"/>
      <c r="C159" s="44"/>
      <c r="D159" s="38"/>
      <c r="E159" s="45"/>
      <c r="F159" s="36"/>
      <c r="G159" s="36"/>
      <c r="H159" s="36"/>
      <c r="I159" s="38"/>
      <c r="J159" s="45"/>
      <c r="K159" s="44"/>
      <c r="L159" s="45"/>
      <c r="AMJ159" s="0"/>
    </row>
    <row r="160" s="18" customFormat="true" ht="18.7" hidden="false" customHeight="true" outlineLevel="0" collapsed="false">
      <c r="A160" s="43"/>
      <c r="B160" s="37"/>
      <c r="C160" s="44"/>
      <c r="D160" s="38"/>
      <c r="E160" s="45"/>
      <c r="F160" s="36"/>
      <c r="G160" s="36"/>
      <c r="H160" s="36"/>
      <c r="I160" s="38"/>
      <c r="J160" s="45"/>
      <c r="K160" s="44"/>
      <c r="L160" s="45"/>
      <c r="AMJ160" s="0"/>
    </row>
    <row r="161" s="18" customFormat="true" ht="18.7" hidden="false" customHeight="true" outlineLevel="0" collapsed="false">
      <c r="A161" s="43"/>
      <c r="B161" s="37"/>
      <c r="C161" s="44"/>
      <c r="D161" s="38"/>
      <c r="E161" s="45"/>
      <c r="F161" s="36"/>
      <c r="G161" s="36"/>
      <c r="H161" s="36"/>
      <c r="I161" s="38"/>
      <c r="J161" s="45"/>
      <c r="K161" s="44"/>
      <c r="L161" s="45"/>
      <c r="AMJ161" s="0"/>
    </row>
    <row r="162" s="18" customFormat="true" ht="18.7" hidden="false" customHeight="true" outlineLevel="0" collapsed="false">
      <c r="A162" s="43"/>
      <c r="B162" s="37"/>
      <c r="C162" s="44"/>
      <c r="D162" s="38"/>
      <c r="E162" s="45"/>
      <c r="F162" s="36"/>
      <c r="G162" s="36"/>
      <c r="H162" s="36"/>
      <c r="I162" s="38"/>
      <c r="J162" s="45"/>
      <c r="K162" s="44"/>
      <c r="L162" s="45"/>
      <c r="AMJ162" s="0"/>
    </row>
    <row r="163" s="18" customFormat="true" ht="18.7" hidden="false" customHeight="true" outlineLevel="0" collapsed="false">
      <c r="A163" s="43"/>
      <c r="B163" s="37"/>
      <c r="C163" s="44"/>
      <c r="D163" s="38"/>
      <c r="E163" s="45"/>
      <c r="F163" s="36"/>
      <c r="G163" s="36"/>
      <c r="H163" s="36"/>
      <c r="I163" s="38"/>
      <c r="J163" s="45"/>
      <c r="K163" s="44"/>
      <c r="L163" s="45"/>
      <c r="AMJ163" s="0"/>
    </row>
    <row r="164" s="18" customFormat="true" ht="18.7" hidden="false" customHeight="true" outlineLevel="0" collapsed="false">
      <c r="A164" s="43"/>
      <c r="B164" s="37"/>
      <c r="C164" s="44"/>
      <c r="D164" s="38"/>
      <c r="E164" s="45"/>
      <c r="F164" s="36"/>
      <c r="G164" s="36"/>
      <c r="H164" s="36"/>
      <c r="I164" s="38"/>
      <c r="J164" s="45"/>
      <c r="K164" s="44"/>
      <c r="L164" s="45"/>
      <c r="AMJ164" s="0"/>
    </row>
    <row r="165" s="18" customFormat="true" ht="18.7" hidden="false" customHeight="true" outlineLevel="0" collapsed="false">
      <c r="A165" s="43"/>
      <c r="B165" s="37"/>
      <c r="C165" s="44"/>
      <c r="D165" s="38"/>
      <c r="E165" s="45"/>
      <c r="F165" s="36"/>
      <c r="G165" s="36"/>
      <c r="H165" s="36"/>
      <c r="I165" s="38"/>
      <c r="J165" s="45"/>
      <c r="K165" s="44"/>
      <c r="L165" s="45"/>
      <c r="AMJ165" s="0"/>
    </row>
    <row r="166" s="18" customFormat="true" ht="18.7" hidden="false" customHeight="true" outlineLevel="0" collapsed="false">
      <c r="A166" s="43"/>
      <c r="B166" s="37"/>
      <c r="C166" s="44"/>
      <c r="D166" s="38"/>
      <c r="E166" s="45"/>
      <c r="F166" s="36"/>
      <c r="G166" s="36"/>
      <c r="H166" s="36"/>
      <c r="I166" s="38"/>
      <c r="J166" s="45"/>
      <c r="K166" s="44"/>
      <c r="L166" s="45"/>
      <c r="AMJ166" s="0"/>
    </row>
    <row r="167" s="18" customFormat="true" ht="18.7" hidden="false" customHeight="true" outlineLevel="0" collapsed="false">
      <c r="A167" s="43"/>
      <c r="B167" s="37"/>
      <c r="C167" s="44"/>
      <c r="D167" s="38"/>
      <c r="E167" s="45"/>
      <c r="F167" s="36"/>
      <c r="G167" s="36"/>
      <c r="H167" s="36"/>
      <c r="I167" s="38"/>
      <c r="J167" s="45"/>
      <c r="K167" s="44"/>
      <c r="L167" s="45"/>
      <c r="AMJ167" s="0"/>
    </row>
    <row r="168" s="18" customFormat="true" ht="18.7" hidden="false" customHeight="true" outlineLevel="0" collapsed="false">
      <c r="A168" s="43"/>
      <c r="B168" s="37"/>
      <c r="C168" s="44"/>
      <c r="D168" s="38"/>
      <c r="E168" s="45"/>
      <c r="F168" s="36"/>
      <c r="G168" s="36"/>
      <c r="H168" s="36"/>
      <c r="I168" s="38"/>
      <c r="J168" s="45"/>
      <c r="K168" s="44"/>
      <c r="L168" s="45"/>
      <c r="AMJ168" s="0"/>
    </row>
    <row r="169" s="18" customFormat="true" ht="18.7" hidden="false" customHeight="true" outlineLevel="0" collapsed="false">
      <c r="A169" s="43"/>
      <c r="B169" s="37"/>
      <c r="C169" s="44"/>
      <c r="D169" s="38"/>
      <c r="E169" s="45"/>
      <c r="F169" s="36"/>
      <c r="G169" s="36"/>
      <c r="H169" s="36"/>
      <c r="I169" s="38"/>
      <c r="J169" s="45"/>
      <c r="K169" s="44"/>
      <c r="L169" s="45"/>
      <c r="AMJ169" s="0"/>
    </row>
    <row r="170" s="18" customFormat="true" ht="18.7" hidden="false" customHeight="true" outlineLevel="0" collapsed="false">
      <c r="A170" s="43"/>
      <c r="B170" s="37"/>
      <c r="C170" s="44"/>
      <c r="D170" s="38"/>
      <c r="E170" s="45"/>
      <c r="F170" s="36"/>
      <c r="G170" s="36"/>
      <c r="H170" s="36"/>
      <c r="I170" s="38"/>
      <c r="J170" s="45"/>
      <c r="K170" s="44"/>
      <c r="L170" s="45"/>
      <c r="AMJ170" s="0"/>
    </row>
    <row r="171" s="18" customFormat="true" ht="18.7" hidden="false" customHeight="true" outlineLevel="0" collapsed="false">
      <c r="A171" s="43"/>
      <c r="B171" s="37"/>
      <c r="C171" s="44"/>
      <c r="D171" s="38"/>
      <c r="E171" s="45"/>
      <c r="F171" s="36"/>
      <c r="G171" s="36"/>
      <c r="H171" s="36"/>
      <c r="I171" s="38"/>
      <c r="J171" s="45"/>
      <c r="K171" s="44"/>
      <c r="L171" s="45"/>
      <c r="AMJ171" s="0"/>
    </row>
    <row r="172" s="18" customFormat="true" ht="18.7" hidden="false" customHeight="true" outlineLevel="0" collapsed="false">
      <c r="A172" s="43"/>
      <c r="B172" s="37"/>
      <c r="C172" s="44"/>
      <c r="D172" s="38"/>
      <c r="E172" s="45"/>
      <c r="F172" s="36"/>
      <c r="G172" s="36"/>
      <c r="H172" s="36"/>
      <c r="I172" s="38"/>
      <c r="J172" s="45"/>
      <c r="K172" s="44"/>
      <c r="L172" s="45"/>
      <c r="AMJ172" s="0"/>
    </row>
    <row r="173" s="18" customFormat="true" ht="18.7" hidden="false" customHeight="true" outlineLevel="0" collapsed="false">
      <c r="A173" s="43"/>
      <c r="B173" s="37"/>
      <c r="C173" s="44"/>
      <c r="D173" s="38"/>
      <c r="E173" s="45"/>
      <c r="F173" s="36"/>
      <c r="G173" s="36"/>
      <c r="H173" s="36"/>
      <c r="I173" s="38"/>
      <c r="J173" s="45"/>
      <c r="K173" s="44"/>
      <c r="L173" s="45"/>
      <c r="AMJ173" s="0"/>
    </row>
    <row r="174" s="18" customFormat="true" ht="18.7" hidden="false" customHeight="true" outlineLevel="0" collapsed="false">
      <c r="A174" s="43"/>
      <c r="B174" s="37"/>
      <c r="C174" s="44"/>
      <c r="D174" s="38"/>
      <c r="E174" s="45"/>
      <c r="F174" s="36"/>
      <c r="G174" s="36"/>
      <c r="H174" s="36"/>
      <c r="I174" s="38"/>
      <c r="J174" s="45"/>
      <c r="K174" s="44"/>
      <c r="L174" s="45"/>
      <c r="AMJ174" s="0"/>
    </row>
    <row r="175" s="18" customFormat="true" ht="18.7" hidden="false" customHeight="true" outlineLevel="0" collapsed="false">
      <c r="A175" s="43"/>
      <c r="B175" s="37"/>
      <c r="C175" s="44"/>
      <c r="D175" s="38"/>
      <c r="E175" s="45"/>
      <c r="F175" s="36"/>
      <c r="G175" s="36"/>
      <c r="H175" s="36"/>
      <c r="I175" s="38"/>
      <c r="J175" s="45"/>
      <c r="K175" s="44"/>
      <c r="L175" s="45"/>
      <c r="AMJ175" s="0"/>
    </row>
    <row r="176" s="18" customFormat="true" ht="18.7" hidden="false" customHeight="true" outlineLevel="0" collapsed="false">
      <c r="A176" s="43"/>
      <c r="B176" s="37"/>
      <c r="C176" s="44"/>
      <c r="D176" s="38"/>
      <c r="E176" s="45"/>
      <c r="F176" s="36"/>
      <c r="G176" s="36"/>
      <c r="H176" s="36"/>
      <c r="I176" s="38"/>
      <c r="J176" s="45"/>
      <c r="K176" s="44"/>
      <c r="L176" s="45"/>
      <c r="AMJ176" s="0"/>
    </row>
    <row r="177" s="18" customFormat="true" ht="18.7" hidden="false" customHeight="true" outlineLevel="0" collapsed="false">
      <c r="A177" s="43"/>
      <c r="B177" s="37"/>
      <c r="C177" s="44"/>
      <c r="D177" s="38"/>
      <c r="E177" s="45"/>
      <c r="F177" s="36"/>
      <c r="G177" s="36"/>
      <c r="H177" s="36"/>
      <c r="I177" s="38"/>
      <c r="J177" s="45"/>
      <c r="K177" s="44"/>
      <c r="L177" s="45"/>
      <c r="AMJ177" s="0"/>
    </row>
    <row r="178" s="18" customFormat="true" ht="18.7" hidden="false" customHeight="true" outlineLevel="0" collapsed="false">
      <c r="A178" s="43"/>
      <c r="B178" s="37"/>
      <c r="C178" s="44"/>
      <c r="D178" s="38"/>
      <c r="E178" s="45"/>
      <c r="F178" s="36"/>
      <c r="G178" s="36"/>
      <c r="H178" s="36"/>
      <c r="I178" s="38"/>
      <c r="J178" s="45"/>
      <c r="K178" s="44"/>
      <c r="L178" s="45"/>
      <c r="AMJ178" s="0"/>
    </row>
    <row r="179" s="18" customFormat="true" ht="18.7" hidden="false" customHeight="true" outlineLevel="0" collapsed="false">
      <c r="A179" s="43"/>
      <c r="B179" s="37"/>
      <c r="C179" s="44"/>
      <c r="D179" s="38"/>
      <c r="E179" s="45"/>
      <c r="F179" s="36"/>
      <c r="G179" s="36"/>
      <c r="H179" s="36"/>
      <c r="I179" s="38"/>
      <c r="J179" s="45"/>
      <c r="K179" s="44"/>
      <c r="L179" s="45"/>
      <c r="AMJ179" s="0"/>
    </row>
    <row r="180" s="18" customFormat="true" ht="18.7" hidden="false" customHeight="true" outlineLevel="0" collapsed="false">
      <c r="A180" s="43"/>
      <c r="B180" s="37"/>
      <c r="C180" s="44"/>
      <c r="D180" s="38"/>
      <c r="E180" s="45"/>
      <c r="F180" s="36"/>
      <c r="G180" s="36"/>
      <c r="H180" s="36"/>
      <c r="I180" s="38"/>
      <c r="J180" s="45"/>
      <c r="K180" s="44"/>
      <c r="L180" s="45"/>
      <c r="AMJ180" s="0"/>
    </row>
    <row r="181" s="18" customFormat="true" ht="18.7" hidden="false" customHeight="true" outlineLevel="0" collapsed="false">
      <c r="A181" s="43"/>
      <c r="B181" s="37"/>
      <c r="C181" s="44"/>
      <c r="D181" s="38"/>
      <c r="E181" s="45"/>
      <c r="F181" s="36"/>
      <c r="G181" s="36"/>
      <c r="H181" s="36"/>
      <c r="I181" s="38"/>
      <c r="J181" s="45"/>
      <c r="K181" s="44"/>
      <c r="L181" s="45"/>
      <c r="AMJ181" s="0"/>
    </row>
    <row r="182" s="18" customFormat="true" ht="18.7" hidden="false" customHeight="true" outlineLevel="0" collapsed="false">
      <c r="A182" s="43"/>
      <c r="B182" s="37"/>
      <c r="C182" s="44"/>
      <c r="D182" s="38"/>
      <c r="E182" s="45"/>
      <c r="F182" s="36"/>
      <c r="G182" s="36"/>
      <c r="H182" s="36"/>
      <c r="I182" s="38"/>
      <c r="J182" s="45"/>
      <c r="K182" s="44"/>
      <c r="L182" s="45"/>
      <c r="AMJ182" s="0"/>
    </row>
    <row r="183" s="18" customFormat="true" ht="18.7" hidden="false" customHeight="true" outlineLevel="0" collapsed="false">
      <c r="A183" s="43"/>
      <c r="B183" s="37"/>
      <c r="C183" s="44"/>
      <c r="D183" s="38"/>
      <c r="E183" s="45"/>
      <c r="F183" s="36"/>
      <c r="G183" s="36"/>
      <c r="H183" s="36"/>
      <c r="I183" s="38"/>
      <c r="J183" s="45"/>
      <c r="K183" s="44"/>
      <c r="L183" s="45"/>
      <c r="AMJ183" s="0"/>
    </row>
    <row r="184" s="18" customFormat="true" ht="18.7" hidden="false" customHeight="true" outlineLevel="0" collapsed="false">
      <c r="A184" s="43"/>
      <c r="B184" s="37"/>
      <c r="C184" s="44"/>
      <c r="D184" s="38"/>
      <c r="E184" s="45"/>
      <c r="F184" s="36"/>
      <c r="G184" s="36"/>
      <c r="H184" s="36"/>
      <c r="I184" s="38"/>
      <c r="J184" s="45"/>
      <c r="K184" s="44"/>
      <c r="L184" s="45"/>
      <c r="AMJ184" s="0"/>
    </row>
    <row r="185" s="18" customFormat="true" ht="18.7" hidden="false" customHeight="true" outlineLevel="0" collapsed="false">
      <c r="A185" s="43"/>
      <c r="B185" s="37"/>
      <c r="C185" s="44"/>
      <c r="D185" s="38"/>
      <c r="E185" s="45"/>
      <c r="F185" s="36"/>
      <c r="G185" s="36"/>
      <c r="H185" s="36"/>
      <c r="I185" s="38"/>
      <c r="J185" s="45"/>
      <c r="K185" s="44"/>
      <c r="L185" s="45"/>
      <c r="AMJ185" s="0"/>
    </row>
    <row r="186" s="18" customFormat="true" ht="18.7" hidden="false" customHeight="true" outlineLevel="0" collapsed="false">
      <c r="A186" s="43"/>
      <c r="B186" s="37"/>
      <c r="C186" s="44"/>
      <c r="D186" s="38"/>
      <c r="E186" s="45"/>
      <c r="F186" s="36"/>
      <c r="G186" s="36"/>
      <c r="H186" s="36"/>
      <c r="I186" s="38"/>
      <c r="J186" s="45"/>
      <c r="K186" s="44"/>
      <c r="L186" s="45"/>
      <c r="AMJ186" s="0"/>
    </row>
    <row r="187" s="18" customFormat="true" ht="18.7" hidden="false" customHeight="true" outlineLevel="0" collapsed="false">
      <c r="A187" s="43"/>
      <c r="B187" s="37"/>
      <c r="C187" s="44"/>
      <c r="D187" s="38"/>
      <c r="E187" s="45"/>
      <c r="F187" s="36"/>
      <c r="G187" s="36"/>
      <c r="H187" s="36"/>
      <c r="I187" s="38"/>
      <c r="J187" s="45"/>
      <c r="K187" s="44"/>
      <c r="L187" s="45"/>
      <c r="AMJ187" s="0"/>
    </row>
    <row r="188" s="18" customFormat="true" ht="18.7" hidden="false" customHeight="true" outlineLevel="0" collapsed="false">
      <c r="A188" s="43"/>
      <c r="B188" s="37"/>
      <c r="C188" s="44"/>
      <c r="D188" s="38"/>
      <c r="E188" s="45"/>
      <c r="F188" s="36"/>
      <c r="G188" s="36"/>
      <c r="H188" s="36"/>
      <c r="I188" s="38"/>
      <c r="J188" s="45"/>
      <c r="K188" s="44"/>
      <c r="L188" s="45"/>
      <c r="AMJ188" s="0"/>
    </row>
    <row r="189" s="18" customFormat="true" ht="18.7" hidden="false" customHeight="true" outlineLevel="0" collapsed="false">
      <c r="A189" s="43"/>
      <c r="B189" s="37"/>
      <c r="C189" s="44"/>
      <c r="D189" s="38"/>
      <c r="E189" s="45"/>
      <c r="F189" s="36"/>
      <c r="G189" s="36"/>
      <c r="H189" s="36"/>
      <c r="I189" s="38"/>
      <c r="J189" s="45"/>
      <c r="K189" s="44"/>
      <c r="L189" s="45"/>
      <c r="AMJ189" s="0"/>
    </row>
    <row r="190" s="18" customFormat="true" ht="18.7" hidden="false" customHeight="true" outlineLevel="0" collapsed="false">
      <c r="A190" s="43"/>
      <c r="B190" s="37"/>
      <c r="C190" s="44"/>
      <c r="D190" s="38"/>
      <c r="E190" s="45"/>
      <c r="F190" s="36"/>
      <c r="G190" s="36"/>
      <c r="H190" s="36"/>
      <c r="I190" s="38"/>
      <c r="J190" s="45"/>
      <c r="K190" s="44"/>
      <c r="L190" s="45"/>
      <c r="AMJ190" s="0"/>
    </row>
    <row r="191" s="18" customFormat="true" ht="18.7" hidden="false" customHeight="true" outlineLevel="0" collapsed="false">
      <c r="A191" s="43"/>
      <c r="B191" s="37"/>
      <c r="C191" s="44"/>
      <c r="D191" s="38"/>
      <c r="E191" s="45"/>
      <c r="F191" s="36"/>
      <c r="G191" s="36"/>
      <c r="H191" s="36"/>
      <c r="I191" s="38"/>
      <c r="J191" s="45"/>
      <c r="K191" s="44"/>
      <c r="L191" s="45"/>
      <c r="AMJ191" s="0"/>
    </row>
    <row r="192" s="18" customFormat="true" ht="18.7" hidden="false" customHeight="true" outlineLevel="0" collapsed="false">
      <c r="A192" s="43"/>
      <c r="B192" s="37"/>
      <c r="C192" s="44"/>
      <c r="D192" s="38"/>
      <c r="E192" s="45"/>
      <c r="F192" s="36"/>
      <c r="G192" s="36"/>
      <c r="H192" s="36"/>
      <c r="I192" s="38"/>
      <c r="J192" s="45"/>
      <c r="K192" s="44"/>
      <c r="L192" s="45"/>
      <c r="AMJ192" s="0"/>
    </row>
    <row r="193" s="18" customFormat="true" ht="18.7" hidden="false" customHeight="true" outlineLevel="0" collapsed="false">
      <c r="A193" s="43"/>
      <c r="B193" s="37"/>
      <c r="C193" s="44"/>
      <c r="D193" s="38"/>
      <c r="E193" s="45"/>
      <c r="F193" s="36"/>
      <c r="G193" s="36"/>
      <c r="H193" s="36"/>
      <c r="I193" s="38"/>
      <c r="J193" s="45"/>
      <c r="K193" s="44"/>
      <c r="L193" s="45"/>
      <c r="AMJ193" s="0"/>
    </row>
    <row r="194" s="18" customFormat="true" ht="18.7" hidden="false" customHeight="true" outlineLevel="0" collapsed="false">
      <c r="A194" s="43"/>
      <c r="B194" s="37"/>
      <c r="C194" s="44"/>
      <c r="D194" s="38"/>
      <c r="E194" s="45"/>
      <c r="F194" s="36"/>
      <c r="G194" s="36"/>
      <c r="H194" s="36"/>
      <c r="I194" s="38"/>
      <c r="J194" s="45"/>
      <c r="K194" s="44"/>
      <c r="L194" s="45"/>
      <c r="AMJ194" s="0"/>
    </row>
    <row r="195" s="18" customFormat="true" ht="18.7" hidden="false" customHeight="true" outlineLevel="0" collapsed="false">
      <c r="A195" s="43"/>
      <c r="B195" s="37"/>
      <c r="C195" s="44"/>
      <c r="D195" s="38"/>
      <c r="E195" s="45"/>
      <c r="F195" s="36"/>
      <c r="G195" s="36"/>
      <c r="H195" s="36"/>
      <c r="I195" s="38"/>
      <c r="J195" s="45"/>
      <c r="K195" s="44"/>
      <c r="L195" s="45"/>
      <c r="AMJ195" s="0"/>
    </row>
    <row r="196" s="18" customFormat="true" ht="18.7" hidden="false" customHeight="true" outlineLevel="0" collapsed="false">
      <c r="A196" s="43"/>
      <c r="B196" s="37"/>
      <c r="C196" s="44"/>
      <c r="D196" s="38"/>
      <c r="E196" s="45"/>
      <c r="F196" s="36"/>
      <c r="G196" s="36"/>
      <c r="H196" s="36"/>
      <c r="I196" s="38"/>
      <c r="J196" s="45"/>
      <c r="K196" s="44"/>
      <c r="L196" s="45"/>
      <c r="AMJ196" s="0"/>
    </row>
    <row r="197" s="18" customFormat="true" ht="18.7" hidden="false" customHeight="true" outlineLevel="0" collapsed="false">
      <c r="A197" s="43"/>
      <c r="B197" s="37"/>
      <c r="C197" s="44"/>
      <c r="D197" s="38"/>
      <c r="E197" s="45"/>
      <c r="F197" s="36"/>
      <c r="G197" s="36"/>
      <c r="H197" s="36"/>
      <c r="I197" s="38"/>
      <c r="J197" s="45"/>
      <c r="K197" s="44"/>
      <c r="L197" s="45"/>
      <c r="AMJ197" s="0"/>
    </row>
    <row r="198" s="18" customFormat="true" ht="18.7" hidden="false" customHeight="true" outlineLevel="0" collapsed="false">
      <c r="A198" s="43"/>
      <c r="B198" s="37"/>
      <c r="C198" s="44"/>
      <c r="D198" s="38"/>
      <c r="E198" s="45"/>
      <c r="F198" s="36"/>
      <c r="G198" s="36"/>
      <c r="H198" s="36"/>
      <c r="I198" s="38"/>
      <c r="J198" s="45"/>
      <c r="K198" s="44"/>
      <c r="L198" s="45"/>
      <c r="AMJ198" s="0"/>
    </row>
    <row r="199" s="18" customFormat="true" ht="18.7" hidden="false" customHeight="true" outlineLevel="0" collapsed="false">
      <c r="A199" s="43"/>
      <c r="B199" s="37"/>
      <c r="C199" s="44"/>
      <c r="D199" s="38"/>
      <c r="E199" s="45"/>
      <c r="F199" s="36"/>
      <c r="G199" s="36"/>
      <c r="H199" s="36"/>
      <c r="I199" s="38"/>
      <c r="J199" s="45"/>
      <c r="K199" s="44"/>
      <c r="L199" s="45"/>
      <c r="AMJ199" s="0"/>
    </row>
    <row r="200" s="18" customFormat="true" ht="18.7" hidden="false" customHeight="true" outlineLevel="0" collapsed="false">
      <c r="A200" s="43"/>
      <c r="B200" s="37"/>
      <c r="C200" s="44"/>
      <c r="D200" s="38"/>
      <c r="E200" s="45"/>
      <c r="F200" s="36"/>
      <c r="G200" s="36"/>
      <c r="H200" s="36"/>
      <c r="I200" s="38"/>
      <c r="J200" s="45"/>
      <c r="K200" s="44"/>
      <c r="L200" s="45"/>
      <c r="AMJ200" s="0"/>
    </row>
    <row r="201" s="18" customFormat="true" ht="18.7" hidden="false" customHeight="true" outlineLevel="0" collapsed="false">
      <c r="A201" s="43"/>
      <c r="B201" s="37"/>
      <c r="C201" s="44"/>
      <c r="D201" s="38"/>
      <c r="E201" s="45"/>
      <c r="F201" s="36"/>
      <c r="G201" s="36"/>
      <c r="H201" s="36"/>
      <c r="I201" s="38"/>
      <c r="J201" s="45"/>
      <c r="K201" s="44"/>
      <c r="L201" s="45"/>
      <c r="AMJ201" s="0"/>
    </row>
    <row r="202" s="18" customFormat="true" ht="18.7" hidden="false" customHeight="true" outlineLevel="0" collapsed="false">
      <c r="A202" s="43"/>
      <c r="B202" s="37"/>
      <c r="C202" s="44"/>
      <c r="D202" s="38"/>
      <c r="E202" s="45"/>
      <c r="F202" s="36"/>
      <c r="G202" s="36"/>
      <c r="H202" s="36"/>
      <c r="I202" s="38"/>
      <c r="J202" s="45"/>
      <c r="K202" s="44"/>
      <c r="L202" s="45"/>
      <c r="AMJ202" s="0"/>
    </row>
    <row r="203" s="18" customFormat="true" ht="18.7" hidden="false" customHeight="true" outlineLevel="0" collapsed="false">
      <c r="A203" s="43"/>
      <c r="B203" s="37"/>
      <c r="C203" s="44"/>
      <c r="D203" s="38"/>
      <c r="E203" s="45"/>
      <c r="F203" s="36"/>
      <c r="G203" s="36"/>
      <c r="H203" s="36"/>
      <c r="I203" s="38"/>
      <c r="J203" s="45"/>
      <c r="K203" s="44"/>
      <c r="L203" s="45"/>
      <c r="AMJ203" s="0"/>
    </row>
    <row r="204" s="18" customFormat="true" ht="18.7" hidden="false" customHeight="true" outlineLevel="0" collapsed="false">
      <c r="A204" s="43"/>
      <c r="B204" s="37"/>
      <c r="C204" s="44"/>
      <c r="D204" s="38"/>
      <c r="E204" s="45"/>
      <c r="F204" s="36"/>
      <c r="G204" s="36"/>
      <c r="H204" s="36"/>
      <c r="I204" s="38"/>
      <c r="J204" s="45"/>
      <c r="K204" s="44"/>
      <c r="L204" s="45"/>
      <c r="AMJ204" s="0"/>
    </row>
    <row r="205" s="18" customFormat="true" ht="18.7" hidden="false" customHeight="true" outlineLevel="0" collapsed="false">
      <c r="A205" s="43"/>
      <c r="B205" s="37"/>
      <c r="C205" s="44"/>
      <c r="D205" s="38"/>
      <c r="E205" s="45"/>
      <c r="F205" s="36"/>
      <c r="G205" s="36"/>
      <c r="H205" s="36"/>
      <c r="I205" s="38"/>
      <c r="J205" s="45"/>
      <c r="K205" s="44"/>
      <c r="L205" s="45"/>
      <c r="AMJ205" s="0"/>
    </row>
    <row r="206" s="18" customFormat="true" ht="18.7" hidden="false" customHeight="true" outlineLevel="0" collapsed="false">
      <c r="A206" s="43"/>
      <c r="B206" s="37"/>
      <c r="C206" s="44"/>
      <c r="D206" s="38"/>
      <c r="E206" s="45"/>
      <c r="F206" s="36"/>
      <c r="G206" s="36"/>
      <c r="H206" s="36"/>
      <c r="I206" s="38"/>
      <c r="J206" s="45"/>
      <c r="K206" s="44"/>
      <c r="L206" s="45"/>
      <c r="AMJ206" s="0"/>
    </row>
    <row r="207" s="18" customFormat="true" ht="18.7" hidden="false" customHeight="true" outlineLevel="0" collapsed="false">
      <c r="A207" s="43"/>
      <c r="B207" s="37"/>
      <c r="C207" s="44"/>
      <c r="D207" s="38"/>
      <c r="E207" s="45"/>
      <c r="F207" s="36"/>
      <c r="G207" s="36"/>
      <c r="H207" s="36"/>
      <c r="I207" s="38"/>
      <c r="J207" s="45"/>
      <c r="K207" s="44"/>
      <c r="L207" s="45"/>
      <c r="AMJ207" s="0"/>
    </row>
    <row r="208" s="18" customFormat="true" ht="18.7" hidden="false" customHeight="true" outlineLevel="0" collapsed="false">
      <c r="A208" s="43"/>
      <c r="B208" s="37"/>
      <c r="C208" s="44"/>
      <c r="D208" s="38"/>
      <c r="E208" s="45"/>
      <c r="F208" s="36"/>
      <c r="G208" s="36"/>
      <c r="H208" s="36"/>
      <c r="I208" s="38"/>
      <c r="J208" s="45"/>
      <c r="K208" s="44"/>
      <c r="L208" s="45"/>
      <c r="AMJ208" s="0"/>
    </row>
    <row r="209" s="18" customFormat="true" ht="18.7" hidden="false" customHeight="true" outlineLevel="0" collapsed="false">
      <c r="A209" s="43"/>
      <c r="B209" s="37"/>
      <c r="C209" s="44"/>
      <c r="D209" s="38"/>
      <c r="E209" s="45"/>
      <c r="F209" s="36"/>
      <c r="G209" s="36"/>
      <c r="H209" s="36"/>
      <c r="I209" s="38"/>
      <c r="J209" s="45"/>
      <c r="K209" s="44"/>
      <c r="L209" s="45"/>
      <c r="AMJ209" s="0"/>
    </row>
    <row r="210" s="18" customFormat="true" ht="18.7" hidden="false" customHeight="true" outlineLevel="0" collapsed="false">
      <c r="A210" s="43"/>
      <c r="B210" s="37"/>
      <c r="C210" s="44"/>
      <c r="D210" s="38"/>
      <c r="E210" s="45"/>
      <c r="F210" s="36"/>
      <c r="G210" s="36"/>
      <c r="H210" s="36"/>
      <c r="I210" s="38"/>
      <c r="J210" s="45"/>
      <c r="K210" s="44"/>
      <c r="L210" s="45"/>
      <c r="AMJ210" s="0"/>
    </row>
    <row r="211" s="18" customFormat="true" ht="18.7" hidden="false" customHeight="true" outlineLevel="0" collapsed="false">
      <c r="A211" s="43"/>
      <c r="B211" s="37"/>
      <c r="C211" s="44"/>
      <c r="D211" s="38"/>
      <c r="E211" s="45"/>
      <c r="F211" s="36"/>
      <c r="G211" s="36"/>
      <c r="H211" s="36"/>
      <c r="I211" s="38"/>
      <c r="J211" s="45"/>
      <c r="K211" s="44"/>
      <c r="L211" s="45"/>
      <c r="AMJ211" s="0"/>
    </row>
    <row r="212" s="18" customFormat="true" ht="18.7" hidden="false" customHeight="true" outlineLevel="0" collapsed="false">
      <c r="A212" s="43"/>
      <c r="B212" s="37"/>
      <c r="C212" s="44"/>
      <c r="D212" s="38"/>
      <c r="E212" s="45"/>
      <c r="F212" s="36"/>
      <c r="G212" s="36"/>
      <c r="H212" s="36"/>
      <c r="I212" s="38"/>
      <c r="J212" s="45"/>
      <c r="K212" s="44"/>
      <c r="L212" s="45"/>
      <c r="AMJ212" s="0"/>
    </row>
    <row r="213" s="18" customFormat="true" ht="18.7" hidden="false" customHeight="true" outlineLevel="0" collapsed="false">
      <c r="A213" s="43"/>
      <c r="B213" s="37"/>
      <c r="C213" s="44"/>
      <c r="D213" s="38"/>
      <c r="E213" s="45"/>
      <c r="F213" s="36"/>
      <c r="G213" s="36"/>
      <c r="H213" s="36"/>
      <c r="I213" s="38"/>
      <c r="J213" s="45"/>
      <c r="K213" s="44"/>
      <c r="L213" s="45"/>
      <c r="AMJ213" s="0"/>
    </row>
    <row r="214" s="18" customFormat="true" ht="18.7" hidden="false" customHeight="true" outlineLevel="0" collapsed="false">
      <c r="A214" s="43"/>
      <c r="B214" s="37"/>
      <c r="C214" s="44"/>
      <c r="D214" s="38"/>
      <c r="E214" s="45"/>
      <c r="F214" s="36"/>
      <c r="G214" s="36"/>
      <c r="H214" s="36"/>
      <c r="I214" s="38"/>
      <c r="J214" s="45"/>
      <c r="K214" s="44"/>
      <c r="L214" s="45"/>
      <c r="AMJ214" s="0"/>
    </row>
    <row r="215" s="18" customFormat="true" ht="18.7" hidden="false" customHeight="true" outlineLevel="0" collapsed="false">
      <c r="A215" s="43"/>
      <c r="B215" s="37"/>
      <c r="C215" s="44"/>
      <c r="D215" s="38"/>
      <c r="E215" s="45"/>
      <c r="F215" s="36"/>
      <c r="G215" s="36"/>
      <c r="H215" s="36"/>
      <c r="I215" s="38"/>
      <c r="J215" s="45"/>
      <c r="K215" s="44"/>
      <c r="L215" s="45"/>
      <c r="AMJ215" s="0"/>
    </row>
    <row r="216" s="18" customFormat="true" ht="18.7" hidden="false" customHeight="true" outlineLevel="0" collapsed="false">
      <c r="A216" s="43"/>
      <c r="B216" s="37"/>
      <c r="C216" s="44"/>
      <c r="D216" s="38"/>
      <c r="E216" s="45"/>
      <c r="F216" s="36"/>
      <c r="G216" s="36"/>
      <c r="H216" s="36"/>
      <c r="I216" s="38"/>
      <c r="J216" s="45"/>
      <c r="K216" s="44"/>
      <c r="L216" s="45"/>
      <c r="AMJ216" s="0"/>
    </row>
    <row r="217" s="18" customFormat="true" ht="18.7" hidden="false" customHeight="true" outlineLevel="0" collapsed="false">
      <c r="A217" s="43"/>
      <c r="B217" s="37"/>
      <c r="C217" s="44"/>
      <c r="D217" s="38"/>
      <c r="E217" s="45"/>
      <c r="F217" s="36"/>
      <c r="G217" s="36"/>
      <c r="H217" s="36"/>
      <c r="I217" s="38"/>
      <c r="J217" s="45"/>
      <c r="K217" s="44"/>
      <c r="L217" s="45"/>
      <c r="AMJ217" s="0"/>
    </row>
    <row r="218" s="18" customFormat="true" ht="18.7" hidden="false" customHeight="true" outlineLevel="0" collapsed="false">
      <c r="A218" s="43"/>
      <c r="B218" s="37"/>
      <c r="C218" s="44"/>
      <c r="D218" s="38"/>
      <c r="E218" s="45"/>
      <c r="F218" s="36"/>
      <c r="G218" s="36"/>
      <c r="H218" s="36"/>
      <c r="I218" s="38"/>
      <c r="J218" s="45"/>
      <c r="K218" s="44"/>
      <c r="L218" s="45"/>
      <c r="AMJ218" s="0"/>
    </row>
    <row r="219" s="18" customFormat="true" ht="18.7" hidden="false" customHeight="true" outlineLevel="0" collapsed="false">
      <c r="A219" s="43"/>
      <c r="B219" s="37"/>
      <c r="C219" s="44"/>
      <c r="D219" s="38"/>
      <c r="E219" s="45"/>
      <c r="F219" s="36"/>
      <c r="G219" s="36"/>
      <c r="H219" s="36"/>
      <c r="I219" s="38"/>
      <c r="J219" s="45"/>
      <c r="K219" s="44"/>
      <c r="L219" s="45"/>
      <c r="AMJ219" s="0"/>
    </row>
    <row r="220" s="18" customFormat="true" ht="18.7" hidden="false" customHeight="true" outlineLevel="0" collapsed="false">
      <c r="A220" s="43"/>
      <c r="B220" s="37"/>
      <c r="C220" s="44"/>
      <c r="D220" s="38"/>
      <c r="E220" s="45"/>
      <c r="F220" s="36"/>
      <c r="G220" s="36"/>
      <c r="H220" s="36"/>
      <c r="I220" s="38"/>
      <c r="J220" s="45"/>
      <c r="K220" s="44"/>
      <c r="L220" s="45"/>
      <c r="AMJ220" s="0"/>
    </row>
    <row r="221" s="18" customFormat="true" ht="18.7" hidden="false" customHeight="true" outlineLevel="0" collapsed="false">
      <c r="A221" s="43"/>
      <c r="B221" s="37"/>
      <c r="C221" s="44"/>
      <c r="D221" s="38"/>
      <c r="E221" s="45"/>
      <c r="F221" s="36"/>
      <c r="G221" s="36"/>
      <c r="H221" s="36"/>
      <c r="I221" s="38"/>
      <c r="J221" s="45"/>
      <c r="K221" s="44"/>
      <c r="L221" s="45"/>
      <c r="AMJ221" s="0"/>
    </row>
    <row r="222" s="18" customFormat="true" ht="18.7" hidden="false" customHeight="true" outlineLevel="0" collapsed="false">
      <c r="A222" s="43"/>
      <c r="B222" s="37"/>
      <c r="C222" s="44"/>
      <c r="D222" s="38"/>
      <c r="E222" s="45"/>
      <c r="F222" s="36"/>
      <c r="G222" s="36"/>
      <c r="H222" s="36"/>
      <c r="I222" s="38"/>
      <c r="J222" s="45"/>
      <c r="K222" s="44"/>
      <c r="L222" s="45"/>
      <c r="AMJ222" s="0"/>
    </row>
    <row r="223" s="18" customFormat="true" ht="18.7" hidden="false" customHeight="true" outlineLevel="0" collapsed="false">
      <c r="A223" s="43"/>
      <c r="B223" s="37"/>
      <c r="C223" s="44"/>
      <c r="D223" s="38"/>
      <c r="E223" s="45"/>
      <c r="F223" s="36"/>
      <c r="G223" s="36"/>
      <c r="H223" s="36"/>
      <c r="I223" s="38"/>
      <c r="J223" s="45"/>
      <c r="K223" s="44"/>
      <c r="L223" s="45"/>
      <c r="AMJ223" s="0"/>
    </row>
    <row r="224" s="18" customFormat="true" ht="18.7" hidden="false" customHeight="true" outlineLevel="0" collapsed="false">
      <c r="A224" s="43"/>
      <c r="B224" s="37"/>
      <c r="C224" s="44"/>
      <c r="D224" s="38"/>
      <c r="E224" s="45"/>
      <c r="F224" s="36"/>
      <c r="G224" s="36"/>
      <c r="H224" s="36"/>
      <c r="I224" s="38"/>
      <c r="J224" s="45"/>
      <c r="K224" s="44"/>
      <c r="L224" s="45"/>
      <c r="AMJ224" s="0"/>
    </row>
    <row r="225" s="18" customFormat="true" ht="18.7" hidden="false" customHeight="true" outlineLevel="0" collapsed="false">
      <c r="A225" s="43"/>
      <c r="B225" s="37"/>
      <c r="C225" s="44"/>
      <c r="D225" s="38"/>
      <c r="E225" s="45"/>
      <c r="F225" s="36"/>
      <c r="G225" s="36"/>
      <c r="H225" s="36"/>
      <c r="I225" s="38"/>
      <c r="J225" s="45"/>
      <c r="K225" s="44"/>
      <c r="L225" s="45"/>
      <c r="AMJ225" s="0"/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2025-11-24T05:33:22Z</dcterms:created>
  <dc:creator/>
  <dc:description/>
  <dc:language>en-US</dc:language>
  <cp:lastModifiedBy/>
  <dcterms:modified xsi:type="dcterms:W3CDTF">2025-11-28T02:35:27Z</dcterms:modified>
  <cp:revision>6</cp:revision>
  <dc:subject/>
  <dc:title/>
</cp:coreProperties>
</file>